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35" yWindow="405" windowWidth="24435" windowHeight="12015"/>
  </bookViews>
  <sheets>
    <sheet name="UV Hazard Halogen" sheetId="8" r:id="rId1"/>
    <sheet name="IEC TR 62778- LED" sheetId="6" r:id="rId2"/>
    <sheet name="IEC_EN62471- LED non-GLS" sheetId="5" r:id="rId3"/>
    <sheet name="IEC_EN62471- Halogen non-GLS" sheetId="1" r:id="rId4"/>
    <sheet name="Hazard Weighting Functions" sheetId="2" r:id="rId5"/>
  </sheets>
  <calcPr calcId="125725"/>
</workbook>
</file>

<file path=xl/calcChain.xml><?xml version="1.0" encoding="utf-8"?>
<calcChain xmlns="http://schemas.openxmlformats.org/spreadsheetml/2006/main">
  <c r="K8" i="6"/>
  <c r="Z30" i="8"/>
  <c r="Z31"/>
  <c r="Z32"/>
  <c r="Y23" s="1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29"/>
  <c r="V30"/>
  <c r="V31"/>
  <c r="V32"/>
  <c r="V33"/>
  <c r="V34"/>
  <c r="AA34" s="1"/>
  <c r="V35"/>
  <c r="V36"/>
  <c r="V37"/>
  <c r="V38"/>
  <c r="AA38" s="1"/>
  <c r="V39"/>
  <c r="V40"/>
  <c r="V41"/>
  <c r="V42"/>
  <c r="V43"/>
  <c r="V44"/>
  <c r="V45"/>
  <c r="V46"/>
  <c r="V47"/>
  <c r="V48"/>
  <c r="V49"/>
  <c r="V50"/>
  <c r="X50" s="1"/>
  <c r="V51"/>
  <c r="V52"/>
  <c r="V53"/>
  <c r="V54"/>
  <c r="X54" s="1"/>
  <c r="V55"/>
  <c r="V56"/>
  <c r="V57"/>
  <c r="V58"/>
  <c r="V59"/>
  <c r="V60"/>
  <c r="V61"/>
  <c r="V62"/>
  <c r="V63"/>
  <c r="V64"/>
  <c r="V65"/>
  <c r="V66"/>
  <c r="V67"/>
  <c r="V68"/>
  <c r="V69"/>
  <c r="V70"/>
  <c r="X70" s="1"/>
  <c r="V71"/>
  <c r="V72"/>
  <c r="V73"/>
  <c r="V74"/>
  <c r="V75"/>
  <c r="V76"/>
  <c r="V77"/>
  <c r="V78"/>
  <c r="X78" s="1"/>
  <c r="V79"/>
  <c r="V80"/>
  <c r="V81"/>
  <c r="V82"/>
  <c r="X82" s="1"/>
  <c r="V83"/>
  <c r="V84"/>
  <c r="V85"/>
  <c r="V86"/>
  <c r="X86" s="1"/>
  <c r="V87"/>
  <c r="V88"/>
  <c r="V89"/>
  <c r="V90"/>
  <c r="X90" s="1"/>
  <c r="V91"/>
  <c r="V92"/>
  <c r="V93"/>
  <c r="V94"/>
  <c r="X94" s="1"/>
  <c r="V95"/>
  <c r="V96"/>
  <c r="V97"/>
  <c r="V98"/>
  <c r="X98" s="1"/>
  <c r="V99"/>
  <c r="V100"/>
  <c r="V101"/>
  <c r="V102"/>
  <c r="X102" s="1"/>
  <c r="V103"/>
  <c r="V104"/>
  <c r="V105"/>
  <c r="V106"/>
  <c r="X106" s="1"/>
  <c r="V107"/>
  <c r="V108"/>
  <c r="V109"/>
  <c r="V110"/>
  <c r="V111"/>
  <c r="V112"/>
  <c r="V113"/>
  <c r="V114"/>
  <c r="X114" s="1"/>
  <c r="V115"/>
  <c r="V116"/>
  <c r="V117"/>
  <c r="V118"/>
  <c r="X118" s="1"/>
  <c r="V119"/>
  <c r="V120"/>
  <c r="V121"/>
  <c r="V122"/>
  <c r="AA122" s="1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AA142" s="1"/>
  <c r="V143"/>
  <c r="V144"/>
  <c r="V145"/>
  <c r="V146"/>
  <c r="AA146" s="1"/>
  <c r="V147"/>
  <c r="V148"/>
  <c r="V149"/>
  <c r="V150"/>
  <c r="AA150" s="1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X188" s="1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9"/>
  <c r="S649"/>
  <c r="V649" s="1"/>
  <c r="S648"/>
  <c r="V648" s="1"/>
  <c r="S647"/>
  <c r="V647" s="1"/>
  <c r="S646"/>
  <c r="V646" s="1"/>
  <c r="S645"/>
  <c r="V645" s="1"/>
  <c r="S644"/>
  <c r="V644" s="1"/>
  <c r="S643"/>
  <c r="V643" s="1"/>
  <c r="S642"/>
  <c r="V642" s="1"/>
  <c r="V641"/>
  <c r="S641"/>
  <c r="S640"/>
  <c r="V640" s="1"/>
  <c r="S639"/>
  <c r="V639" s="1"/>
  <c r="S638"/>
  <c r="V638" s="1"/>
  <c r="S637"/>
  <c r="V637" s="1"/>
  <c r="S636"/>
  <c r="V636" s="1"/>
  <c r="S635"/>
  <c r="V635" s="1"/>
  <c r="S634"/>
  <c r="V634" s="1"/>
  <c r="S633"/>
  <c r="V633" s="1"/>
  <c r="S632"/>
  <c r="V632" s="1"/>
  <c r="S631"/>
  <c r="V631" s="1"/>
  <c r="S630"/>
  <c r="V630" s="1"/>
  <c r="S629"/>
  <c r="V629" s="1"/>
  <c r="S628"/>
  <c r="S627"/>
  <c r="V627" s="1"/>
  <c r="S626"/>
  <c r="V625"/>
  <c r="S625"/>
  <c r="S624"/>
  <c r="S623"/>
  <c r="V623" s="1"/>
  <c r="S622"/>
  <c r="S621"/>
  <c r="V621" s="1"/>
  <c r="S620"/>
  <c r="S619"/>
  <c r="V619" s="1"/>
  <c r="S618"/>
  <c r="S617"/>
  <c r="V617" s="1"/>
  <c r="S616"/>
  <c r="S615"/>
  <c r="V615" s="1"/>
  <c r="S614"/>
  <c r="S613"/>
  <c r="V613" s="1"/>
  <c r="S612"/>
  <c r="S611"/>
  <c r="V611" s="1"/>
  <c r="S610"/>
  <c r="V609"/>
  <c r="S609"/>
  <c r="S608"/>
  <c r="S607"/>
  <c r="V607" s="1"/>
  <c r="S606"/>
  <c r="S605"/>
  <c r="V605" s="1"/>
  <c r="S604"/>
  <c r="S603"/>
  <c r="V603" s="1"/>
  <c r="S602"/>
  <c r="S601"/>
  <c r="V601" s="1"/>
  <c r="S600"/>
  <c r="S599"/>
  <c r="V599" s="1"/>
  <c r="S598"/>
  <c r="S597"/>
  <c r="V597" s="1"/>
  <c r="S596"/>
  <c r="S595"/>
  <c r="V595" s="1"/>
  <c r="S594"/>
  <c r="V593"/>
  <c r="S593"/>
  <c r="S592"/>
  <c r="S591"/>
  <c r="V591" s="1"/>
  <c r="S590"/>
  <c r="S589"/>
  <c r="V589" s="1"/>
  <c r="S588"/>
  <c r="S587"/>
  <c r="V587" s="1"/>
  <c r="S586"/>
  <c r="S585"/>
  <c r="V585" s="1"/>
  <c r="S584"/>
  <c r="S583"/>
  <c r="V583" s="1"/>
  <c r="S582"/>
  <c r="S581"/>
  <c r="V581" s="1"/>
  <c r="S580"/>
  <c r="S579"/>
  <c r="V579" s="1"/>
  <c r="S578"/>
  <c r="V577"/>
  <c r="S577"/>
  <c r="S576"/>
  <c r="S575"/>
  <c r="V575" s="1"/>
  <c r="S574"/>
  <c r="S573"/>
  <c r="V573" s="1"/>
  <c r="S572"/>
  <c r="S571"/>
  <c r="V571" s="1"/>
  <c r="S570"/>
  <c r="S569"/>
  <c r="V569" s="1"/>
  <c r="S568"/>
  <c r="S567"/>
  <c r="V567" s="1"/>
  <c r="S566"/>
  <c r="S565"/>
  <c r="V565" s="1"/>
  <c r="S564"/>
  <c r="S563"/>
  <c r="V563" s="1"/>
  <c r="S562"/>
  <c r="V561"/>
  <c r="S561"/>
  <c r="S560"/>
  <c r="S559"/>
  <c r="V559" s="1"/>
  <c r="S558"/>
  <c r="S557"/>
  <c r="V557" s="1"/>
  <c r="S556"/>
  <c r="S555"/>
  <c r="V555" s="1"/>
  <c r="S554"/>
  <c r="S553"/>
  <c r="V553" s="1"/>
  <c r="S552"/>
  <c r="S551"/>
  <c r="V551" s="1"/>
  <c r="S550"/>
  <c r="S549"/>
  <c r="V549" s="1"/>
  <c r="S548"/>
  <c r="S547"/>
  <c r="V547" s="1"/>
  <c r="S546"/>
  <c r="V545"/>
  <c r="S545"/>
  <c r="S544"/>
  <c r="S543"/>
  <c r="V543" s="1"/>
  <c r="S542"/>
  <c r="S541"/>
  <c r="V541" s="1"/>
  <c r="S540"/>
  <c r="S539"/>
  <c r="V539" s="1"/>
  <c r="S538"/>
  <c r="S537"/>
  <c r="V537" s="1"/>
  <c r="S536"/>
  <c r="S535"/>
  <c r="V535" s="1"/>
  <c r="S534"/>
  <c r="S533"/>
  <c r="V533" s="1"/>
  <c r="S532"/>
  <c r="S531"/>
  <c r="V531" s="1"/>
  <c r="S530"/>
  <c r="S529"/>
  <c r="V529" s="1"/>
  <c r="S528"/>
  <c r="S527"/>
  <c r="V527" s="1"/>
  <c r="S526"/>
  <c r="S525"/>
  <c r="V525" s="1"/>
  <c r="S524"/>
  <c r="V523"/>
  <c r="S523"/>
  <c r="S522"/>
  <c r="S521"/>
  <c r="V521" s="1"/>
  <c r="S520"/>
  <c r="S519"/>
  <c r="V519" s="1"/>
  <c r="S518"/>
  <c r="S517"/>
  <c r="V517" s="1"/>
  <c r="S516"/>
  <c r="S515"/>
  <c r="V515" s="1"/>
  <c r="S514"/>
  <c r="V513"/>
  <c r="S513"/>
  <c r="S512"/>
  <c r="S511"/>
  <c r="V511" s="1"/>
  <c r="S510"/>
  <c r="S509"/>
  <c r="V509" s="1"/>
  <c r="S508"/>
  <c r="S507"/>
  <c r="V507" s="1"/>
  <c r="S506"/>
  <c r="S505"/>
  <c r="V505" s="1"/>
  <c r="S504"/>
  <c r="V503"/>
  <c r="S503"/>
  <c r="S502"/>
  <c r="S501"/>
  <c r="V501" s="1"/>
  <c r="S500"/>
  <c r="S499"/>
  <c r="V499" s="1"/>
  <c r="S498"/>
  <c r="S497"/>
  <c r="V497" s="1"/>
  <c r="S496"/>
  <c r="S495"/>
  <c r="V495" s="1"/>
  <c r="S494"/>
  <c r="S493"/>
  <c r="V493" s="1"/>
  <c r="S492"/>
  <c r="V491"/>
  <c r="S491"/>
  <c r="S490"/>
  <c r="S489"/>
  <c r="V489" s="1"/>
  <c r="S488"/>
  <c r="S487"/>
  <c r="V487" s="1"/>
  <c r="S486"/>
  <c r="S485"/>
  <c r="V485" s="1"/>
  <c r="S484"/>
  <c r="S483"/>
  <c r="V483" s="1"/>
  <c r="S482"/>
  <c r="S481"/>
  <c r="V481" s="1"/>
  <c r="S480"/>
  <c r="S479"/>
  <c r="V479" s="1"/>
  <c r="S478"/>
  <c r="S477"/>
  <c r="V477" s="1"/>
  <c r="S476"/>
  <c r="S475"/>
  <c r="V475" s="1"/>
  <c r="S474"/>
  <c r="S473"/>
  <c r="V473" s="1"/>
  <c r="S472"/>
  <c r="S471"/>
  <c r="V471" s="1"/>
  <c r="S470"/>
  <c r="V469"/>
  <c r="S469"/>
  <c r="S468"/>
  <c r="S467"/>
  <c r="V467" s="1"/>
  <c r="S466"/>
  <c r="S465"/>
  <c r="V465" s="1"/>
  <c r="S464"/>
  <c r="S463"/>
  <c r="V463" s="1"/>
  <c r="S462"/>
  <c r="S461"/>
  <c r="V461" s="1"/>
  <c r="S460"/>
  <c r="S459"/>
  <c r="V459" s="1"/>
  <c r="S458"/>
  <c r="S457"/>
  <c r="V457" s="1"/>
  <c r="S456"/>
  <c r="S455"/>
  <c r="V455" s="1"/>
  <c r="S454"/>
  <c r="S453"/>
  <c r="V453" s="1"/>
  <c r="S452"/>
  <c r="S451"/>
  <c r="V451" s="1"/>
  <c r="S450"/>
  <c r="S449"/>
  <c r="V449" s="1"/>
  <c r="S448"/>
  <c r="S447"/>
  <c r="V447" s="1"/>
  <c r="S446"/>
  <c r="S445"/>
  <c r="V445" s="1"/>
  <c r="S444"/>
  <c r="V443"/>
  <c r="S443"/>
  <c r="S442"/>
  <c r="S441"/>
  <c r="V441" s="1"/>
  <c r="S440"/>
  <c r="S439"/>
  <c r="V439" s="1"/>
  <c r="S438"/>
  <c r="S437"/>
  <c r="V437" s="1"/>
  <c r="S436"/>
  <c r="S435"/>
  <c r="V435" s="1"/>
  <c r="S434"/>
  <c r="S433"/>
  <c r="V433" s="1"/>
  <c r="S432"/>
  <c r="S431"/>
  <c r="V431" s="1"/>
  <c r="S430"/>
  <c r="S429"/>
  <c r="V429" s="1"/>
  <c r="I429"/>
  <c r="S428"/>
  <c r="I428"/>
  <c r="S427"/>
  <c r="I427"/>
  <c r="S426"/>
  <c r="V426" s="1"/>
  <c r="I426"/>
  <c r="S425"/>
  <c r="V425" s="1"/>
  <c r="I425"/>
  <c r="S424"/>
  <c r="V424" s="1"/>
  <c r="I424"/>
  <c r="S423"/>
  <c r="I423"/>
  <c r="S422"/>
  <c r="V422" s="1"/>
  <c r="I422"/>
  <c r="S421"/>
  <c r="V421" s="1"/>
  <c r="I421"/>
  <c r="S420"/>
  <c r="V420" s="1"/>
  <c r="I420"/>
  <c r="S419"/>
  <c r="I419"/>
  <c r="S418"/>
  <c r="I418"/>
  <c r="S417"/>
  <c r="V417" s="1"/>
  <c r="I417"/>
  <c r="S416"/>
  <c r="I416"/>
  <c r="S415"/>
  <c r="I415"/>
  <c r="S414"/>
  <c r="I414"/>
  <c r="S413"/>
  <c r="V413" s="1"/>
  <c r="I413"/>
  <c r="S412"/>
  <c r="I412"/>
  <c r="S411"/>
  <c r="I411"/>
  <c r="V410"/>
  <c r="S410"/>
  <c r="I410"/>
  <c r="S409"/>
  <c r="V409" s="1"/>
  <c r="I409"/>
  <c r="S408"/>
  <c r="V408" s="1"/>
  <c r="I408"/>
  <c r="S407"/>
  <c r="I407"/>
  <c r="S406"/>
  <c r="V406" s="1"/>
  <c r="I406"/>
  <c r="S405"/>
  <c r="V405" s="1"/>
  <c r="I405"/>
  <c r="S404"/>
  <c r="V404" s="1"/>
  <c r="I404"/>
  <c r="S403"/>
  <c r="I403"/>
  <c r="S402"/>
  <c r="I402"/>
  <c r="S401"/>
  <c r="V401" s="1"/>
  <c r="I401"/>
  <c r="S400"/>
  <c r="I400"/>
  <c r="S399"/>
  <c r="I399"/>
  <c r="S398"/>
  <c r="V398" s="1"/>
  <c r="I398"/>
  <c r="S397"/>
  <c r="V397" s="1"/>
  <c r="I397"/>
  <c r="S396"/>
  <c r="I396"/>
  <c r="S395"/>
  <c r="I395"/>
  <c r="S394"/>
  <c r="V394" s="1"/>
  <c r="I394"/>
  <c r="S393"/>
  <c r="V393" s="1"/>
  <c r="I393"/>
  <c r="S392"/>
  <c r="I392"/>
  <c r="S391"/>
  <c r="I391"/>
  <c r="S390"/>
  <c r="V390" s="1"/>
  <c r="I390"/>
  <c r="S389"/>
  <c r="V389" s="1"/>
  <c r="I389"/>
  <c r="S388"/>
  <c r="I388"/>
  <c r="S387"/>
  <c r="I387"/>
  <c r="S386"/>
  <c r="V386" s="1"/>
  <c r="I386"/>
  <c r="S385"/>
  <c r="V385" s="1"/>
  <c r="I385"/>
  <c r="S384"/>
  <c r="I384"/>
  <c r="S383"/>
  <c r="I383"/>
  <c r="S382"/>
  <c r="V382" s="1"/>
  <c r="I382"/>
  <c r="S381"/>
  <c r="V381" s="1"/>
  <c r="I381"/>
  <c r="S380"/>
  <c r="I380"/>
  <c r="S379"/>
  <c r="I379"/>
  <c r="V378"/>
  <c r="S378"/>
  <c r="I378"/>
  <c r="S377"/>
  <c r="V377" s="1"/>
  <c r="I377"/>
  <c r="S376"/>
  <c r="I376"/>
  <c r="S375"/>
  <c r="I375"/>
  <c r="S374"/>
  <c r="V374" s="1"/>
  <c r="I374"/>
  <c r="S373"/>
  <c r="V373" s="1"/>
  <c r="I373"/>
  <c r="S372"/>
  <c r="I372"/>
  <c r="S371"/>
  <c r="I371"/>
  <c r="S370"/>
  <c r="V370" s="1"/>
  <c r="I370"/>
  <c r="S369"/>
  <c r="V369" s="1"/>
  <c r="I369"/>
  <c r="S368"/>
  <c r="I368"/>
  <c r="S367"/>
  <c r="I367"/>
  <c r="S366"/>
  <c r="V366" s="1"/>
  <c r="I366"/>
  <c r="S365"/>
  <c r="V365" s="1"/>
  <c r="I365"/>
  <c r="S364"/>
  <c r="I364"/>
  <c r="S363"/>
  <c r="I363"/>
  <c r="S362"/>
  <c r="V362" s="1"/>
  <c r="I362"/>
  <c r="S361"/>
  <c r="V361" s="1"/>
  <c r="I361"/>
  <c r="S360"/>
  <c r="I360"/>
  <c r="S359"/>
  <c r="I359"/>
  <c r="S358"/>
  <c r="V358" s="1"/>
  <c r="I358"/>
  <c r="S357"/>
  <c r="V357" s="1"/>
  <c r="I357"/>
  <c r="S356"/>
  <c r="I356"/>
  <c r="S355"/>
  <c r="I355"/>
  <c r="S354"/>
  <c r="V354" s="1"/>
  <c r="I354"/>
  <c r="S353"/>
  <c r="V353" s="1"/>
  <c r="I353"/>
  <c r="S352"/>
  <c r="I352"/>
  <c r="S351"/>
  <c r="I351"/>
  <c r="S350"/>
  <c r="V350" s="1"/>
  <c r="I350"/>
  <c r="S349"/>
  <c r="V349" s="1"/>
  <c r="I349"/>
  <c r="S348"/>
  <c r="I348"/>
  <c r="S347"/>
  <c r="I347"/>
  <c r="V346"/>
  <c r="S346"/>
  <c r="I346"/>
  <c r="S345"/>
  <c r="V345" s="1"/>
  <c r="I345"/>
  <c r="S344"/>
  <c r="I344"/>
  <c r="S343"/>
  <c r="I343"/>
  <c r="S342"/>
  <c r="V342" s="1"/>
  <c r="I342"/>
  <c r="S341"/>
  <c r="V341" s="1"/>
  <c r="I341"/>
  <c r="S340"/>
  <c r="I340"/>
  <c r="S339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X205"/>
  <c r="AA200"/>
  <c r="AA193"/>
  <c r="AA184"/>
  <c r="X168"/>
  <c r="AA167"/>
  <c r="AA165"/>
  <c r="AA154"/>
  <c r="X136"/>
  <c r="X133"/>
  <c r="X132"/>
  <c r="X128"/>
  <c r="X124"/>
  <c r="X117"/>
  <c r="X116"/>
  <c r="X113"/>
  <c r="X112"/>
  <c r="X110"/>
  <c r="X109"/>
  <c r="X108"/>
  <c r="X105"/>
  <c r="X104"/>
  <c r="X101"/>
  <c r="X100"/>
  <c r="X97"/>
  <c r="X93"/>
  <c r="X89"/>
  <c r="X85"/>
  <c r="X77"/>
  <c r="X74"/>
  <c r="X69"/>
  <c r="X64"/>
  <c r="X63"/>
  <c r="X60"/>
  <c r="AA57"/>
  <c r="X51"/>
  <c r="X47"/>
  <c r="AA44"/>
  <c r="X41"/>
  <c r="AA29"/>
  <c r="W28"/>
  <c r="Y28" s="1"/>
  <c r="V28"/>
  <c r="W27"/>
  <c r="V27"/>
  <c r="AG8"/>
  <c r="M5" i="6"/>
  <c r="M16"/>
  <c r="AH153"/>
  <c r="AM153" s="1"/>
  <c r="AN153" s="1"/>
  <c r="AI153"/>
  <c r="AH154"/>
  <c r="AM154" s="1"/>
  <c r="AI154"/>
  <c r="AH155"/>
  <c r="AM155" s="1"/>
  <c r="AN155" s="1"/>
  <c r="AI155"/>
  <c r="AH140"/>
  <c r="AM140" s="1"/>
  <c r="AI140"/>
  <c r="AH141"/>
  <c r="AM141" s="1"/>
  <c r="AN141" s="1"/>
  <c r="AI141"/>
  <c r="AH142"/>
  <c r="AM142" s="1"/>
  <c r="AN142" s="1"/>
  <c r="AI142"/>
  <c r="AH143"/>
  <c r="AM143" s="1"/>
  <c r="AN143" s="1"/>
  <c r="AO143" s="1"/>
  <c r="AI143"/>
  <c r="AH144"/>
  <c r="AM144" s="1"/>
  <c r="AN144" s="1"/>
  <c r="AI144"/>
  <c r="AH145"/>
  <c r="AM145" s="1"/>
  <c r="AN145" s="1"/>
  <c r="AI145"/>
  <c r="AH146"/>
  <c r="AM146" s="1"/>
  <c r="AN146" s="1"/>
  <c r="AI146"/>
  <c r="AH147"/>
  <c r="AM147" s="1"/>
  <c r="AN147" s="1"/>
  <c r="AO147" s="1"/>
  <c r="AI147"/>
  <c r="AH148"/>
  <c r="AM148" s="1"/>
  <c r="AN148" s="1"/>
  <c r="AI148"/>
  <c r="AH149"/>
  <c r="AM149" s="1"/>
  <c r="AN149" s="1"/>
  <c r="AO149" s="1"/>
  <c r="AI149"/>
  <c r="AH150"/>
  <c r="AM150" s="1"/>
  <c r="AN150" s="1"/>
  <c r="AI150"/>
  <c r="AH151"/>
  <c r="AM151" s="1"/>
  <c r="AN151" s="1"/>
  <c r="AI151"/>
  <c r="AH152"/>
  <c r="AM152" s="1"/>
  <c r="AN152" s="1"/>
  <c r="AO152" s="1"/>
  <c r="AI152"/>
  <c r="AD6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Y100"/>
  <c r="Z100"/>
  <c r="Y101"/>
  <c r="Z101"/>
  <c r="Y102"/>
  <c r="Z102"/>
  <c r="Y103"/>
  <c r="Z103"/>
  <c r="Y104"/>
  <c r="Z104"/>
  <c r="Y105"/>
  <c r="Z105"/>
  <c r="Y106"/>
  <c r="Z106"/>
  <c r="Y107"/>
  <c r="Z107"/>
  <c r="Y108"/>
  <c r="Z108"/>
  <c r="Y109"/>
  <c r="Z109"/>
  <c r="Y110"/>
  <c r="AA110" s="1"/>
  <c r="Z110"/>
  <c r="Y111"/>
  <c r="Z111"/>
  <c r="Y112"/>
  <c r="Z112"/>
  <c r="Y113"/>
  <c r="Z113"/>
  <c r="Y114"/>
  <c r="Z114"/>
  <c r="Y115"/>
  <c r="Z115"/>
  <c r="Y116"/>
  <c r="AD116" s="1"/>
  <c r="Z116"/>
  <c r="Y117"/>
  <c r="Z117"/>
  <c r="Y118"/>
  <c r="Z118"/>
  <c r="Y119"/>
  <c r="Z119"/>
  <c r="Y120"/>
  <c r="Z120"/>
  <c r="Y121"/>
  <c r="Z121"/>
  <c r="Y122"/>
  <c r="Z122"/>
  <c r="Y123"/>
  <c r="Z123"/>
  <c r="Y124"/>
  <c r="Z124"/>
  <c r="Y125"/>
  <c r="Z125"/>
  <c r="Y126"/>
  <c r="Z126"/>
  <c r="Y127"/>
  <c r="Z127"/>
  <c r="Y128"/>
  <c r="Z128"/>
  <c r="Y129"/>
  <c r="Z129"/>
  <c r="Y130"/>
  <c r="Z130"/>
  <c r="Y131"/>
  <c r="Z131"/>
  <c r="Y132"/>
  <c r="Z132"/>
  <c r="Y133"/>
  <c r="Z133"/>
  <c r="Y134"/>
  <c r="Z134"/>
  <c r="Y135"/>
  <c r="Z135"/>
  <c r="Y136"/>
  <c r="Z136"/>
  <c r="Y137"/>
  <c r="Z137"/>
  <c r="Y138"/>
  <c r="Z138"/>
  <c r="Y139"/>
  <c r="Z139"/>
  <c r="Y140"/>
  <c r="Z140"/>
  <c r="Y141"/>
  <c r="Z141"/>
  <c r="Y142"/>
  <c r="AA142" s="1"/>
  <c r="Z142"/>
  <c r="Y143"/>
  <c r="Z143"/>
  <c r="Y144"/>
  <c r="Z144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Z29"/>
  <c r="Y29"/>
  <c r="AD29" s="1"/>
  <c r="AH136"/>
  <c r="AM136" s="1"/>
  <c r="AI136"/>
  <c r="AH137"/>
  <c r="AM137" s="1"/>
  <c r="AI137"/>
  <c r="AH138"/>
  <c r="AM138" s="1"/>
  <c r="AI138"/>
  <c r="AH139"/>
  <c r="AM139" s="1"/>
  <c r="AI139"/>
  <c r="AH28"/>
  <c r="AI28"/>
  <c r="AH29"/>
  <c r="AJ29" s="1"/>
  <c r="AI29"/>
  <c r="AH30"/>
  <c r="AM30" s="1"/>
  <c r="AI30"/>
  <c r="AH31"/>
  <c r="AM31" s="1"/>
  <c r="AI31"/>
  <c r="AH32"/>
  <c r="AM32" s="1"/>
  <c r="AI32"/>
  <c r="AH33"/>
  <c r="AM33" s="1"/>
  <c r="AI33"/>
  <c r="AH34"/>
  <c r="AM34" s="1"/>
  <c r="AI34"/>
  <c r="AH35"/>
  <c r="AM35" s="1"/>
  <c r="AI35"/>
  <c r="AH36"/>
  <c r="AM36" s="1"/>
  <c r="AI36"/>
  <c r="AH37"/>
  <c r="AM37" s="1"/>
  <c r="AI37"/>
  <c r="AH38"/>
  <c r="AM38" s="1"/>
  <c r="AI38"/>
  <c r="AH39"/>
  <c r="AM39" s="1"/>
  <c r="AI39"/>
  <c r="AH40"/>
  <c r="AM40" s="1"/>
  <c r="AI40"/>
  <c r="AH41"/>
  <c r="AM41" s="1"/>
  <c r="AI41"/>
  <c r="AH42"/>
  <c r="AM42" s="1"/>
  <c r="AI42"/>
  <c r="AH43"/>
  <c r="AM43" s="1"/>
  <c r="AI43"/>
  <c r="AH44"/>
  <c r="AM44" s="1"/>
  <c r="AI44"/>
  <c r="AH45"/>
  <c r="AM45" s="1"/>
  <c r="AI45"/>
  <c r="AH46"/>
  <c r="AM46" s="1"/>
  <c r="AI46"/>
  <c r="AH47"/>
  <c r="AM47" s="1"/>
  <c r="AI47"/>
  <c r="AH48"/>
  <c r="AM48" s="1"/>
  <c r="AI48"/>
  <c r="AH49"/>
  <c r="AM49" s="1"/>
  <c r="AI49"/>
  <c r="AH50"/>
  <c r="AM50" s="1"/>
  <c r="AI50"/>
  <c r="AH51"/>
  <c r="AM51" s="1"/>
  <c r="AI51"/>
  <c r="AH52"/>
  <c r="AM52" s="1"/>
  <c r="AI52"/>
  <c r="AH53"/>
  <c r="AM53" s="1"/>
  <c r="AI53"/>
  <c r="AH54"/>
  <c r="AM54" s="1"/>
  <c r="AI54"/>
  <c r="AH55"/>
  <c r="AM55" s="1"/>
  <c r="AI55"/>
  <c r="AH56"/>
  <c r="AM56" s="1"/>
  <c r="AI56"/>
  <c r="AH57"/>
  <c r="AM57" s="1"/>
  <c r="AI57"/>
  <c r="AH58"/>
  <c r="AM58" s="1"/>
  <c r="AI58"/>
  <c r="AH59"/>
  <c r="AM59" s="1"/>
  <c r="AI59"/>
  <c r="AH60"/>
  <c r="AM60" s="1"/>
  <c r="AI60"/>
  <c r="AH61"/>
  <c r="AM61" s="1"/>
  <c r="AI61"/>
  <c r="AH62"/>
  <c r="AM62" s="1"/>
  <c r="AI62"/>
  <c r="AH63"/>
  <c r="AM63" s="1"/>
  <c r="AI63"/>
  <c r="AH64"/>
  <c r="AM64" s="1"/>
  <c r="AN64" s="1"/>
  <c r="AI64"/>
  <c r="AH65"/>
  <c r="AM65" s="1"/>
  <c r="AI65"/>
  <c r="AH66"/>
  <c r="AJ66" s="1"/>
  <c r="AI66"/>
  <c r="AH67"/>
  <c r="AM67" s="1"/>
  <c r="AI67"/>
  <c r="AH68"/>
  <c r="AM68" s="1"/>
  <c r="AN68" s="1"/>
  <c r="AI68"/>
  <c r="AH69"/>
  <c r="AM69" s="1"/>
  <c r="AI69"/>
  <c r="AH70"/>
  <c r="AJ70" s="1"/>
  <c r="AI70"/>
  <c r="AH71"/>
  <c r="AM71" s="1"/>
  <c r="AI71"/>
  <c r="AH72"/>
  <c r="AM72" s="1"/>
  <c r="AN72" s="1"/>
  <c r="AI72"/>
  <c r="AH73"/>
  <c r="AM73" s="1"/>
  <c r="AI73"/>
  <c r="AH74"/>
  <c r="AM74" s="1"/>
  <c r="AN74" s="1"/>
  <c r="AI74"/>
  <c r="AH75"/>
  <c r="AM75" s="1"/>
  <c r="AI75"/>
  <c r="AH76"/>
  <c r="AM76" s="1"/>
  <c r="AN76" s="1"/>
  <c r="AI76"/>
  <c r="AH77"/>
  <c r="AM77" s="1"/>
  <c r="AI77"/>
  <c r="AH78"/>
  <c r="AM78" s="1"/>
  <c r="AN78" s="1"/>
  <c r="AI78"/>
  <c r="AH79"/>
  <c r="AM79" s="1"/>
  <c r="AI79"/>
  <c r="AH80"/>
  <c r="AM80" s="1"/>
  <c r="AN80" s="1"/>
  <c r="AI80"/>
  <c r="AH81"/>
  <c r="AM81" s="1"/>
  <c r="AI81"/>
  <c r="AH82"/>
  <c r="AJ82" s="1"/>
  <c r="AI82"/>
  <c r="AH83"/>
  <c r="AM83" s="1"/>
  <c r="AI83"/>
  <c r="AH84"/>
  <c r="AM84" s="1"/>
  <c r="AN84" s="1"/>
  <c r="AI84"/>
  <c r="AH85"/>
  <c r="AM85" s="1"/>
  <c r="AI85"/>
  <c r="AH86"/>
  <c r="AJ86" s="1"/>
  <c r="AI86"/>
  <c r="AH87"/>
  <c r="AM87" s="1"/>
  <c r="AI87"/>
  <c r="AH88"/>
  <c r="AM88" s="1"/>
  <c r="AN88" s="1"/>
  <c r="AI88"/>
  <c r="AH89"/>
  <c r="AM89" s="1"/>
  <c r="AI89"/>
  <c r="AH90"/>
  <c r="AM90" s="1"/>
  <c r="AN90" s="1"/>
  <c r="AI90"/>
  <c r="AH91"/>
  <c r="AJ91" s="1"/>
  <c r="AI91"/>
  <c r="AH92"/>
  <c r="AJ92" s="1"/>
  <c r="AI92"/>
  <c r="AH93"/>
  <c r="AM93" s="1"/>
  <c r="AI93"/>
  <c r="AH94"/>
  <c r="AJ94" s="1"/>
  <c r="AI94"/>
  <c r="AH95"/>
  <c r="AM95" s="1"/>
  <c r="AI95"/>
  <c r="AH96"/>
  <c r="AM96" s="1"/>
  <c r="AN96" s="1"/>
  <c r="AI96"/>
  <c r="AH97"/>
  <c r="AM97" s="1"/>
  <c r="AI97"/>
  <c r="AH98"/>
  <c r="AM98" s="1"/>
  <c r="AN98" s="1"/>
  <c r="AI98"/>
  <c r="AH99"/>
  <c r="AM99" s="1"/>
  <c r="AI99"/>
  <c r="AH100"/>
  <c r="AM100" s="1"/>
  <c r="AN100" s="1"/>
  <c r="AI100"/>
  <c r="AH101"/>
  <c r="AM101" s="1"/>
  <c r="AI101"/>
  <c r="AH102"/>
  <c r="AJ102" s="1"/>
  <c r="AI102"/>
  <c r="AH103"/>
  <c r="AM103" s="1"/>
  <c r="AI103"/>
  <c r="AH104"/>
  <c r="AM104" s="1"/>
  <c r="AN104" s="1"/>
  <c r="AI104"/>
  <c r="AH105"/>
  <c r="AM105" s="1"/>
  <c r="AI105"/>
  <c r="AH106"/>
  <c r="AM106" s="1"/>
  <c r="AN106" s="1"/>
  <c r="AI106"/>
  <c r="AH107"/>
  <c r="AM107" s="1"/>
  <c r="AI107"/>
  <c r="AH108"/>
  <c r="AM108" s="1"/>
  <c r="AN108" s="1"/>
  <c r="AO108" s="1"/>
  <c r="AI108"/>
  <c r="AH109"/>
  <c r="AM109" s="1"/>
  <c r="AN109" s="1"/>
  <c r="AI109"/>
  <c r="AH110"/>
  <c r="AM110" s="1"/>
  <c r="AN110" s="1"/>
  <c r="AI110"/>
  <c r="AH111"/>
  <c r="AM111" s="1"/>
  <c r="AI111"/>
  <c r="AH112"/>
  <c r="AJ112" s="1"/>
  <c r="AI112"/>
  <c r="AH113"/>
  <c r="AM113" s="1"/>
  <c r="AN113" s="1"/>
  <c r="AI113"/>
  <c r="AH114"/>
  <c r="AM114" s="1"/>
  <c r="AN114" s="1"/>
  <c r="AO114" s="1"/>
  <c r="AI114"/>
  <c r="AH115"/>
  <c r="AM115" s="1"/>
  <c r="AN115" s="1"/>
  <c r="AI115"/>
  <c r="AH116"/>
  <c r="AJ116" s="1"/>
  <c r="AI116"/>
  <c r="AH117"/>
  <c r="AM117" s="1"/>
  <c r="AI117"/>
  <c r="AH118"/>
  <c r="AM118" s="1"/>
  <c r="AN118" s="1"/>
  <c r="AI118"/>
  <c r="AH119"/>
  <c r="AM119" s="1"/>
  <c r="AN119" s="1"/>
  <c r="AI119"/>
  <c r="AH120"/>
  <c r="AJ120" s="1"/>
  <c r="AI120"/>
  <c r="AH121"/>
  <c r="AJ121" s="1"/>
  <c r="AI121"/>
  <c r="AH122"/>
  <c r="AM122" s="1"/>
  <c r="AN122" s="1"/>
  <c r="AI122"/>
  <c r="AH123"/>
  <c r="AM123" s="1"/>
  <c r="AI123"/>
  <c r="AH124"/>
  <c r="AJ124" s="1"/>
  <c r="AI124"/>
  <c r="AH125"/>
  <c r="AM125" s="1"/>
  <c r="AN125" s="1"/>
  <c r="AI125"/>
  <c r="AH126"/>
  <c r="AM126" s="1"/>
  <c r="AN126" s="1"/>
  <c r="AI126"/>
  <c r="AH127"/>
  <c r="AJ127" s="1"/>
  <c r="AI127"/>
  <c r="AH128"/>
  <c r="AJ128" s="1"/>
  <c r="AI128"/>
  <c r="AH129"/>
  <c r="AM129" s="1"/>
  <c r="AN129" s="1"/>
  <c r="AI129"/>
  <c r="AH130"/>
  <c r="AJ130" s="1"/>
  <c r="AI130"/>
  <c r="AH131"/>
  <c r="AM131" s="1"/>
  <c r="AN131" s="1"/>
  <c r="AI131"/>
  <c r="AH132"/>
  <c r="AJ132" s="1"/>
  <c r="AI132"/>
  <c r="AH133"/>
  <c r="AM133" s="1"/>
  <c r="AI133"/>
  <c r="AH134"/>
  <c r="AJ134" s="1"/>
  <c r="AI134"/>
  <c r="AH135"/>
  <c r="AM135" s="1"/>
  <c r="AN135" s="1"/>
  <c r="AI135"/>
  <c r="AI27"/>
  <c r="AH27"/>
  <c r="AD155"/>
  <c r="AD151"/>
  <c r="AD148"/>
  <c r="AD137"/>
  <c r="AJ136"/>
  <c r="AA133"/>
  <c r="AA129"/>
  <c r="AJ119"/>
  <c r="AJ115"/>
  <c r="AA114"/>
  <c r="AD112"/>
  <c r="AJ109"/>
  <c r="AJ105"/>
  <c r="AD104"/>
  <c r="AA102"/>
  <c r="AD98"/>
  <c r="AD96"/>
  <c r="AA94"/>
  <c r="AD92"/>
  <c r="AA91"/>
  <c r="AA90"/>
  <c r="AJ89"/>
  <c r="AJ85"/>
  <c r="AJ83"/>
  <c r="AJ80"/>
  <c r="AJ77"/>
  <c r="AJ75"/>
  <c r="AJ72"/>
  <c r="AJ69"/>
  <c r="AJ67"/>
  <c r="AJ64"/>
  <c r="AJ61"/>
  <c r="AJ59"/>
  <c r="AD58"/>
  <c r="AJ57"/>
  <c r="AD56"/>
  <c r="AJ55"/>
  <c r="AD54"/>
  <c r="AJ53"/>
  <c r="AD52"/>
  <c r="AJ51"/>
  <c r="AJ49"/>
  <c r="AD46"/>
  <c r="AJ44"/>
  <c r="AD42"/>
  <c r="AJ40"/>
  <c r="AD38"/>
  <c r="AJ36"/>
  <c r="AA34"/>
  <c r="AJ31"/>
  <c r="Z28"/>
  <c r="AB28" s="1"/>
  <c r="Y28"/>
  <c r="Z27"/>
  <c r="Y27"/>
  <c r="G8"/>
  <c r="G7"/>
  <c r="O8" i="5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270"/>
  <c r="V649"/>
  <c r="Y648"/>
  <c r="V648"/>
  <c r="V647"/>
  <c r="Y646"/>
  <c r="V646"/>
  <c r="V645"/>
  <c r="Y644"/>
  <c r="V644"/>
  <c r="V643"/>
  <c r="Y642"/>
  <c r="V642"/>
  <c r="V641"/>
  <c r="Y640"/>
  <c r="V640"/>
  <c r="V639"/>
  <c r="Y638"/>
  <c r="V638"/>
  <c r="V637"/>
  <c r="Y636"/>
  <c r="V636"/>
  <c r="V635"/>
  <c r="Y634"/>
  <c r="V634"/>
  <c r="V633"/>
  <c r="Y632"/>
  <c r="V632"/>
  <c r="V631"/>
  <c r="Y630"/>
  <c r="V630"/>
  <c r="V629"/>
  <c r="Y628"/>
  <c r="V628"/>
  <c r="V627"/>
  <c r="Y626"/>
  <c r="V626"/>
  <c r="V625"/>
  <c r="Y624"/>
  <c r="V624"/>
  <c r="V623"/>
  <c r="Y622"/>
  <c r="V622"/>
  <c r="V621"/>
  <c r="Y620"/>
  <c r="V620"/>
  <c r="V619"/>
  <c r="Y618"/>
  <c r="V618"/>
  <c r="V617"/>
  <c r="Y616"/>
  <c r="V616"/>
  <c r="V615"/>
  <c r="Y614"/>
  <c r="V614"/>
  <c r="V613"/>
  <c r="Y612"/>
  <c r="V612"/>
  <c r="V611"/>
  <c r="Y610"/>
  <c r="V610"/>
  <c r="V609"/>
  <c r="Y608"/>
  <c r="V608"/>
  <c r="V607"/>
  <c r="Y606"/>
  <c r="V606"/>
  <c r="V605"/>
  <c r="Y604"/>
  <c r="V604"/>
  <c r="V603"/>
  <c r="Y602"/>
  <c r="V602"/>
  <c r="V601"/>
  <c r="Y600"/>
  <c r="V600"/>
  <c r="V599"/>
  <c r="Y598"/>
  <c r="V598"/>
  <c r="V597"/>
  <c r="Y596"/>
  <c r="V596"/>
  <c r="V595"/>
  <c r="Y594"/>
  <c r="V594"/>
  <c r="V593"/>
  <c r="Y592"/>
  <c r="V592"/>
  <c r="V591"/>
  <c r="Y590"/>
  <c r="V590"/>
  <c r="V589"/>
  <c r="Y588"/>
  <c r="V588"/>
  <c r="V587"/>
  <c r="Y586"/>
  <c r="V586"/>
  <c r="V585"/>
  <c r="Y584"/>
  <c r="V584"/>
  <c r="V583"/>
  <c r="Y582"/>
  <c r="V582"/>
  <c r="V581"/>
  <c r="Y580"/>
  <c r="V580"/>
  <c r="V579"/>
  <c r="Y578"/>
  <c r="V578"/>
  <c r="V577"/>
  <c r="Y576"/>
  <c r="V576"/>
  <c r="V575"/>
  <c r="Y574"/>
  <c r="V574"/>
  <c r="V573"/>
  <c r="Y572"/>
  <c r="V572"/>
  <c r="V571"/>
  <c r="Y570"/>
  <c r="V570"/>
  <c r="V569"/>
  <c r="Y568"/>
  <c r="V568"/>
  <c r="V567"/>
  <c r="Y566"/>
  <c r="V566"/>
  <c r="V565"/>
  <c r="Y564"/>
  <c r="V564"/>
  <c r="V563"/>
  <c r="Y562"/>
  <c r="V562"/>
  <c r="V561"/>
  <c r="Y560"/>
  <c r="V560"/>
  <c r="V559"/>
  <c r="Y558"/>
  <c r="V558"/>
  <c r="V557"/>
  <c r="Y556"/>
  <c r="V556"/>
  <c r="V555"/>
  <c r="Y554"/>
  <c r="V554"/>
  <c r="V553"/>
  <c r="Y552"/>
  <c r="V552"/>
  <c r="V551"/>
  <c r="Y550"/>
  <c r="V550"/>
  <c r="V549"/>
  <c r="Y548"/>
  <c r="V548"/>
  <c r="V547"/>
  <c r="Y546"/>
  <c r="V546"/>
  <c r="V545"/>
  <c r="Y544"/>
  <c r="V544"/>
  <c r="V543"/>
  <c r="Y542"/>
  <c r="V542"/>
  <c r="V541"/>
  <c r="Y540"/>
  <c r="V540"/>
  <c r="V539"/>
  <c r="Y538"/>
  <c r="V538"/>
  <c r="V537"/>
  <c r="Y536"/>
  <c r="V536"/>
  <c r="V535"/>
  <c r="Y534"/>
  <c r="V534"/>
  <c r="V533"/>
  <c r="Y532"/>
  <c r="V532"/>
  <c r="V531"/>
  <c r="Y530"/>
  <c r="V530"/>
  <c r="V529"/>
  <c r="Y528"/>
  <c r="V528"/>
  <c r="V527"/>
  <c r="Y526"/>
  <c r="V526"/>
  <c r="V525"/>
  <c r="Y524"/>
  <c r="V524"/>
  <c r="V523"/>
  <c r="Y522"/>
  <c r="V522"/>
  <c r="V521"/>
  <c r="Y520"/>
  <c r="V520"/>
  <c r="V519"/>
  <c r="Y518"/>
  <c r="V518"/>
  <c r="V517"/>
  <c r="Y516"/>
  <c r="V516"/>
  <c r="V515"/>
  <c r="Y514"/>
  <c r="V514"/>
  <c r="V513"/>
  <c r="Y512"/>
  <c r="V512"/>
  <c r="V511"/>
  <c r="Y510"/>
  <c r="V510"/>
  <c r="V509"/>
  <c r="Y508"/>
  <c r="V508"/>
  <c r="V507"/>
  <c r="Y506"/>
  <c r="V506"/>
  <c r="V505"/>
  <c r="Y504"/>
  <c r="V504"/>
  <c r="V503"/>
  <c r="Y502"/>
  <c r="V502"/>
  <c r="V501"/>
  <c r="Y500"/>
  <c r="V500"/>
  <c r="V499"/>
  <c r="Y498"/>
  <c r="V498"/>
  <c r="V497"/>
  <c r="Y496"/>
  <c r="V496"/>
  <c r="V495"/>
  <c r="Y494"/>
  <c r="V494"/>
  <c r="V493"/>
  <c r="Y492"/>
  <c r="V492"/>
  <c r="V491"/>
  <c r="Y490"/>
  <c r="V490"/>
  <c r="V489"/>
  <c r="Y488"/>
  <c r="V488"/>
  <c r="V487"/>
  <c r="Y486"/>
  <c r="V486"/>
  <c r="V485"/>
  <c r="Y484"/>
  <c r="V484"/>
  <c r="V483"/>
  <c r="Y482"/>
  <c r="V482"/>
  <c r="V481"/>
  <c r="Y480"/>
  <c r="V480"/>
  <c r="V479"/>
  <c r="Y478"/>
  <c r="V478"/>
  <c r="V477"/>
  <c r="Y476"/>
  <c r="V476"/>
  <c r="V475"/>
  <c r="Y474"/>
  <c r="V474"/>
  <c r="V473"/>
  <c r="Y472"/>
  <c r="V472"/>
  <c r="V471"/>
  <c r="Y470"/>
  <c r="V470"/>
  <c r="V469"/>
  <c r="Y468"/>
  <c r="V468"/>
  <c r="V467"/>
  <c r="Y466"/>
  <c r="V466"/>
  <c r="V465"/>
  <c r="Y464"/>
  <c r="V464"/>
  <c r="V463"/>
  <c r="Y462"/>
  <c r="V462"/>
  <c r="V461"/>
  <c r="Y460"/>
  <c r="V460"/>
  <c r="V459"/>
  <c r="Y458"/>
  <c r="V458"/>
  <c r="V457"/>
  <c r="Y456"/>
  <c r="V456"/>
  <c r="V455"/>
  <c r="Y454"/>
  <c r="V454"/>
  <c r="V453"/>
  <c r="Y452"/>
  <c r="V452"/>
  <c r="V451"/>
  <c r="Y450"/>
  <c r="V450"/>
  <c r="V449"/>
  <c r="Y448"/>
  <c r="V448"/>
  <c r="V447"/>
  <c r="Y446"/>
  <c r="V446"/>
  <c r="V445"/>
  <c r="Y444"/>
  <c r="V444"/>
  <c r="V443"/>
  <c r="Y442"/>
  <c r="V442"/>
  <c r="V441"/>
  <c r="Y440"/>
  <c r="V440"/>
  <c r="V439"/>
  <c r="Y438"/>
  <c r="V438"/>
  <c r="V437"/>
  <c r="Y436"/>
  <c r="V436"/>
  <c r="V435"/>
  <c r="Y434"/>
  <c r="V434"/>
  <c r="V433"/>
  <c r="Y432"/>
  <c r="V432"/>
  <c r="V431"/>
  <c r="Y430"/>
  <c r="V430"/>
  <c r="V429"/>
  <c r="Y428"/>
  <c r="V428"/>
  <c r="Y427"/>
  <c r="V427"/>
  <c r="V426"/>
  <c r="V425"/>
  <c r="Y424"/>
  <c r="V424"/>
  <c r="Y423"/>
  <c r="V423"/>
  <c r="V422"/>
  <c r="V421"/>
  <c r="Y420"/>
  <c r="V420"/>
  <c r="Y419"/>
  <c r="V419"/>
  <c r="V418"/>
  <c r="V417"/>
  <c r="Y416"/>
  <c r="V416"/>
  <c r="Y415"/>
  <c r="V415"/>
  <c r="V414"/>
  <c r="V413"/>
  <c r="Y412"/>
  <c r="V412"/>
  <c r="Y411"/>
  <c r="V411"/>
  <c r="V410"/>
  <c r="V409"/>
  <c r="Y408"/>
  <c r="V408"/>
  <c r="Y407"/>
  <c r="V407"/>
  <c r="V406"/>
  <c r="V405"/>
  <c r="Y404"/>
  <c r="V404"/>
  <c r="Y403"/>
  <c r="V403"/>
  <c r="V402"/>
  <c r="V401"/>
  <c r="Y400"/>
  <c r="V400"/>
  <c r="Y399"/>
  <c r="V399"/>
  <c r="V398"/>
  <c r="V397"/>
  <c r="Y396"/>
  <c r="V396"/>
  <c r="Y395"/>
  <c r="V395"/>
  <c r="V394"/>
  <c r="V393"/>
  <c r="Y392"/>
  <c r="V392"/>
  <c r="Y391"/>
  <c r="V391"/>
  <c r="V390"/>
  <c r="V389"/>
  <c r="Y388"/>
  <c r="V388"/>
  <c r="Y387"/>
  <c r="V387"/>
  <c r="V386"/>
  <c r="V385"/>
  <c r="Y384"/>
  <c r="V384"/>
  <c r="Y383"/>
  <c r="V383"/>
  <c r="V382"/>
  <c r="V381"/>
  <c r="Y380"/>
  <c r="V380"/>
  <c r="Y379"/>
  <c r="V379"/>
  <c r="V378"/>
  <c r="V377"/>
  <c r="Y376"/>
  <c r="V376"/>
  <c r="Y375"/>
  <c r="V375"/>
  <c r="V374"/>
  <c r="V373"/>
  <c r="Y372"/>
  <c r="V372"/>
  <c r="Y371"/>
  <c r="V371"/>
  <c r="V370"/>
  <c r="V369"/>
  <c r="Y368"/>
  <c r="V368"/>
  <c r="Y367"/>
  <c r="V367"/>
  <c r="V366"/>
  <c r="V365"/>
  <c r="Y364"/>
  <c r="V364"/>
  <c r="Y363"/>
  <c r="V363"/>
  <c r="V362"/>
  <c r="V361"/>
  <c r="Y360"/>
  <c r="V360"/>
  <c r="Y359"/>
  <c r="V359"/>
  <c r="V358"/>
  <c r="V357"/>
  <c r="Y356"/>
  <c r="V356"/>
  <c r="Y355"/>
  <c r="V355"/>
  <c r="V354"/>
  <c r="V353"/>
  <c r="Y352"/>
  <c r="V352"/>
  <c r="Y351"/>
  <c r="V351"/>
  <c r="V350"/>
  <c r="V349"/>
  <c r="Y348"/>
  <c r="V348"/>
  <c r="Y347"/>
  <c r="V347"/>
  <c r="V346"/>
  <c r="V345"/>
  <c r="Y344"/>
  <c r="V344"/>
  <c r="Y343"/>
  <c r="V343"/>
  <c r="V342"/>
  <c r="V341"/>
  <c r="Y340"/>
  <c r="V340"/>
  <c r="Y339"/>
  <c r="V339"/>
  <c r="V338"/>
  <c r="V337"/>
  <c r="Y336"/>
  <c r="V336"/>
  <c r="Y335"/>
  <c r="V335"/>
  <c r="V334"/>
  <c r="V333"/>
  <c r="Y332"/>
  <c r="V332"/>
  <c r="Y331"/>
  <c r="V331"/>
  <c r="V330"/>
  <c r="V329"/>
  <c r="Y328"/>
  <c r="V328"/>
  <c r="Y327"/>
  <c r="V327"/>
  <c r="V326"/>
  <c r="V325"/>
  <c r="Y324"/>
  <c r="V324"/>
  <c r="Y323"/>
  <c r="V323"/>
  <c r="V322"/>
  <c r="V321"/>
  <c r="Y320"/>
  <c r="V320"/>
  <c r="V319"/>
  <c r="Y319" s="1"/>
  <c r="V318"/>
  <c r="V317"/>
  <c r="Y317" s="1"/>
  <c r="Y316"/>
  <c r="V316"/>
  <c r="V315"/>
  <c r="Y315" s="1"/>
  <c r="Y314"/>
  <c r="V314"/>
  <c r="V313"/>
  <c r="V312"/>
  <c r="Y311"/>
  <c r="V311"/>
  <c r="Y310"/>
  <c r="V310"/>
  <c r="V309"/>
  <c r="V308"/>
  <c r="Y307"/>
  <c r="V307"/>
  <c r="Y306"/>
  <c r="V306"/>
  <c r="V305"/>
  <c r="V304"/>
  <c r="BQ303"/>
  <c r="BP303"/>
  <c r="BR303" s="1"/>
  <c r="BS303" s="1"/>
  <c r="Y303"/>
  <c r="V303"/>
  <c r="BQ302"/>
  <c r="BP302"/>
  <c r="BR302" s="1"/>
  <c r="Y302"/>
  <c r="V302"/>
  <c r="BQ301"/>
  <c r="BP301"/>
  <c r="BR301" s="1"/>
  <c r="Y301"/>
  <c r="V301"/>
  <c r="BQ300"/>
  <c r="BP300"/>
  <c r="BR300" s="1"/>
  <c r="BS300" s="1"/>
  <c r="Y300"/>
  <c r="V300"/>
  <c r="BQ299"/>
  <c r="BP299"/>
  <c r="BR299" s="1"/>
  <c r="BS299" s="1"/>
  <c r="Y299"/>
  <c r="V299"/>
  <c r="BQ298"/>
  <c r="BP298"/>
  <c r="BR298" s="1"/>
  <c r="Y298"/>
  <c r="V298"/>
  <c r="BQ297"/>
  <c r="BP297"/>
  <c r="BR297" s="1"/>
  <c r="Y297"/>
  <c r="V297"/>
  <c r="BQ296"/>
  <c r="BP296"/>
  <c r="BR296" s="1"/>
  <c r="BS296" s="1"/>
  <c r="Y296"/>
  <c r="V296"/>
  <c r="BQ295"/>
  <c r="BP295"/>
  <c r="BR295" s="1"/>
  <c r="BS295" s="1"/>
  <c r="Y295"/>
  <c r="V295"/>
  <c r="BQ294"/>
  <c r="BP294"/>
  <c r="BR294" s="1"/>
  <c r="Y294"/>
  <c r="V294"/>
  <c r="BQ293"/>
  <c r="BP293"/>
  <c r="BR293" s="1"/>
  <c r="Y293"/>
  <c r="V293"/>
  <c r="BQ292"/>
  <c r="BP292"/>
  <c r="BR292" s="1"/>
  <c r="BS292" s="1"/>
  <c r="Y292"/>
  <c r="V292"/>
  <c r="BQ291"/>
  <c r="BP291"/>
  <c r="BR291" s="1"/>
  <c r="BS291" s="1"/>
  <c r="Y291"/>
  <c r="V291"/>
  <c r="BQ290"/>
  <c r="BP290"/>
  <c r="BR290" s="1"/>
  <c r="Y290"/>
  <c r="V290"/>
  <c r="BQ289"/>
  <c r="BP289"/>
  <c r="BR289" s="1"/>
  <c r="Y289"/>
  <c r="V289"/>
  <c r="BQ288"/>
  <c r="BP288"/>
  <c r="BR288" s="1"/>
  <c r="BS288" s="1"/>
  <c r="Y288"/>
  <c r="V288"/>
  <c r="BQ287"/>
  <c r="BP287"/>
  <c r="BR287" s="1"/>
  <c r="BS287" s="1"/>
  <c r="Y287"/>
  <c r="V287"/>
  <c r="BQ286"/>
  <c r="BP286"/>
  <c r="BR286" s="1"/>
  <c r="Y286"/>
  <c r="V286"/>
  <c r="BQ285"/>
  <c r="BP285"/>
  <c r="BR285" s="1"/>
  <c r="Y285"/>
  <c r="V285"/>
  <c r="BQ284"/>
  <c r="BP284"/>
  <c r="BR284" s="1"/>
  <c r="BS284" s="1"/>
  <c r="Y284"/>
  <c r="V284"/>
  <c r="BQ283"/>
  <c r="BP283"/>
  <c r="BR283" s="1"/>
  <c r="BS283" s="1"/>
  <c r="Y283"/>
  <c r="V283"/>
  <c r="BQ282"/>
  <c r="BP282"/>
  <c r="BR282" s="1"/>
  <c r="Y282"/>
  <c r="V282"/>
  <c r="BQ281"/>
  <c r="BP281"/>
  <c r="Y281"/>
  <c r="V281"/>
  <c r="BQ280"/>
  <c r="BP280"/>
  <c r="BR280" s="1"/>
  <c r="Y280"/>
  <c r="V280"/>
  <c r="BQ279"/>
  <c r="BP279"/>
  <c r="BL279"/>
  <c r="BK279"/>
  <c r="Y279"/>
  <c r="V279"/>
  <c r="BQ278"/>
  <c r="BP278"/>
  <c r="BM278"/>
  <c r="BL278"/>
  <c r="BK278"/>
  <c r="V278"/>
  <c r="BR277"/>
  <c r="BQ277"/>
  <c r="BP277"/>
  <c r="BM277"/>
  <c r="BL277"/>
  <c r="BK277"/>
  <c r="V277"/>
  <c r="BR276"/>
  <c r="BQ276"/>
  <c r="BS276" s="1"/>
  <c r="BP276"/>
  <c r="BL276"/>
  <c r="BK276"/>
  <c r="BM276" s="1"/>
  <c r="BN276" s="1"/>
  <c r="Y276"/>
  <c r="V276"/>
  <c r="BQ275"/>
  <c r="BP275"/>
  <c r="BL275"/>
  <c r="BK275"/>
  <c r="Y275"/>
  <c r="V275"/>
  <c r="BQ274"/>
  <c r="BP274"/>
  <c r="BM274"/>
  <c r="BL274"/>
  <c r="BK274"/>
  <c r="V274"/>
  <c r="BQ273"/>
  <c r="BP273"/>
  <c r="BL273"/>
  <c r="BK273"/>
  <c r="BM273" s="1"/>
  <c r="BN273" s="1"/>
  <c r="V273"/>
  <c r="BQ272"/>
  <c r="BP272"/>
  <c r="BR272" s="1"/>
  <c r="BS272" s="1"/>
  <c r="BL272"/>
  <c r="BK272"/>
  <c r="BM272" s="1"/>
  <c r="BN272" s="1"/>
  <c r="Y272"/>
  <c r="V272"/>
  <c r="BQ271"/>
  <c r="BP271"/>
  <c r="BR271" s="1"/>
  <c r="BL271"/>
  <c r="BK271"/>
  <c r="Y271"/>
  <c r="V271"/>
  <c r="BQ270"/>
  <c r="BP270"/>
  <c r="BM270"/>
  <c r="BL270"/>
  <c r="BK270"/>
  <c r="V270"/>
  <c r="BQ269"/>
  <c r="BP269"/>
  <c r="BR269" s="1"/>
  <c r="BL269"/>
  <c r="BK269"/>
  <c r="BM269" s="1"/>
  <c r="BN269" s="1"/>
  <c r="W269"/>
  <c r="Z269" s="1"/>
  <c r="V269"/>
  <c r="BQ268"/>
  <c r="BP268"/>
  <c r="BR268" s="1"/>
  <c r="BS268" s="1"/>
  <c r="BL268"/>
  <c r="BN268" s="1"/>
  <c r="BK268"/>
  <c r="BM268" s="1"/>
  <c r="W268"/>
  <c r="V268"/>
  <c r="Y268" s="1"/>
  <c r="BQ267"/>
  <c r="BP267"/>
  <c r="BL267"/>
  <c r="BK267"/>
  <c r="Y267"/>
  <c r="W267"/>
  <c r="Z267" s="1"/>
  <c r="V267"/>
  <c r="BQ266"/>
  <c r="BP266"/>
  <c r="BL266"/>
  <c r="BK266"/>
  <c r="BM266" s="1"/>
  <c r="BN266" s="1"/>
  <c r="Z266"/>
  <c r="W266"/>
  <c r="V266"/>
  <c r="BR265"/>
  <c r="BQ265"/>
  <c r="BP265"/>
  <c r="BL265"/>
  <c r="BK265"/>
  <c r="W265"/>
  <c r="Z265" s="1"/>
  <c r="V265"/>
  <c r="AK265" s="1"/>
  <c r="BR264"/>
  <c r="BS264" s="1"/>
  <c r="BQ264"/>
  <c r="BP264"/>
  <c r="BN264"/>
  <c r="BL264"/>
  <c r="BK264"/>
  <c r="BM264" s="1"/>
  <c r="Y264"/>
  <c r="W264"/>
  <c r="Z264" s="1"/>
  <c r="V264"/>
  <c r="BQ263"/>
  <c r="BP263"/>
  <c r="BL263"/>
  <c r="BK263"/>
  <c r="Z263"/>
  <c r="Y263"/>
  <c r="W263"/>
  <c r="V263"/>
  <c r="BQ262"/>
  <c r="BP262"/>
  <c r="BM262"/>
  <c r="BN262" s="1"/>
  <c r="BL262"/>
  <c r="BK262"/>
  <c r="Z262"/>
  <c r="W262"/>
  <c r="V262"/>
  <c r="BR261"/>
  <c r="BQ261"/>
  <c r="BP261"/>
  <c r="BL261"/>
  <c r="BK261"/>
  <c r="BM261" s="1"/>
  <c r="BN261" s="1"/>
  <c r="BO260" s="1"/>
  <c r="W261"/>
  <c r="Z261" s="1"/>
  <c r="V261"/>
  <c r="BR260"/>
  <c r="BS260" s="1"/>
  <c r="BQ260"/>
  <c r="BP260"/>
  <c r="BL260"/>
  <c r="BK260"/>
  <c r="BM260" s="1"/>
  <c r="BN260" s="1"/>
  <c r="W260"/>
  <c r="Z260" s="1"/>
  <c r="V260"/>
  <c r="Y260" s="1"/>
  <c r="BQ259"/>
  <c r="BP259"/>
  <c r="BL259"/>
  <c r="BK259"/>
  <c r="W259"/>
  <c r="Z259" s="1"/>
  <c r="V259"/>
  <c r="Y259" s="1"/>
  <c r="BQ258"/>
  <c r="BP258"/>
  <c r="BM258"/>
  <c r="BL258"/>
  <c r="BK258"/>
  <c r="W258"/>
  <c r="Z258" s="1"/>
  <c r="V258"/>
  <c r="BR257"/>
  <c r="BS257" s="1"/>
  <c r="BQ257"/>
  <c r="BP257"/>
  <c r="BM257"/>
  <c r="BL257"/>
  <c r="BK257"/>
  <c r="W257"/>
  <c r="Z257" s="1"/>
  <c r="V257"/>
  <c r="AK257" s="1"/>
  <c r="BQ256"/>
  <c r="BP256"/>
  <c r="BR256" s="1"/>
  <c r="BL256"/>
  <c r="BK256"/>
  <c r="BM256" s="1"/>
  <c r="BN256" s="1"/>
  <c r="W256"/>
  <c r="Z256" s="1"/>
  <c r="V256"/>
  <c r="Y256" s="1"/>
  <c r="BQ255"/>
  <c r="BP255"/>
  <c r="BL255"/>
  <c r="BK255"/>
  <c r="BM255" s="1"/>
  <c r="Y255"/>
  <c r="W255"/>
  <c r="Z255" s="1"/>
  <c r="V255"/>
  <c r="BQ254"/>
  <c r="BP254"/>
  <c r="BR254" s="1"/>
  <c r="BL254"/>
  <c r="BK254"/>
  <c r="Z254"/>
  <c r="Y254"/>
  <c r="W254"/>
  <c r="V254"/>
  <c r="BR253"/>
  <c r="BQ253"/>
  <c r="BP253"/>
  <c r="BL253"/>
  <c r="BK253"/>
  <c r="BM253" s="1"/>
  <c r="BN253" s="1"/>
  <c r="AM253"/>
  <c r="Z253"/>
  <c r="W253"/>
  <c r="V253"/>
  <c r="BQ252"/>
  <c r="BP252"/>
  <c r="BR252" s="1"/>
  <c r="BS252" s="1"/>
  <c r="BL252"/>
  <c r="BK252"/>
  <c r="BM252" s="1"/>
  <c r="Y252"/>
  <c r="W252"/>
  <c r="Z252" s="1"/>
  <c r="V252"/>
  <c r="AK252" s="1"/>
  <c r="BQ251"/>
  <c r="BP251"/>
  <c r="BR251" s="1"/>
  <c r="BS251" s="1"/>
  <c r="BL251"/>
  <c r="BK251"/>
  <c r="BM251" s="1"/>
  <c r="Y251"/>
  <c r="W251"/>
  <c r="Z251" s="1"/>
  <c r="V251"/>
  <c r="BQ250"/>
  <c r="BP250"/>
  <c r="BR250" s="1"/>
  <c r="BM250"/>
  <c r="BL250"/>
  <c r="BK250"/>
  <c r="W250"/>
  <c r="Z250" s="1"/>
  <c r="V250"/>
  <c r="Y250" s="1"/>
  <c r="BQ249"/>
  <c r="BP249"/>
  <c r="BM249"/>
  <c r="BN249" s="1"/>
  <c r="BL249"/>
  <c r="BK249"/>
  <c r="AM249"/>
  <c r="Z249"/>
  <c r="W249"/>
  <c r="V249"/>
  <c r="BQ248"/>
  <c r="BP248"/>
  <c r="BR248" s="1"/>
  <c r="BL248"/>
  <c r="BK248"/>
  <c r="W248"/>
  <c r="Z248" s="1"/>
  <c r="V248"/>
  <c r="BQ247"/>
  <c r="BP247"/>
  <c r="BR247" s="1"/>
  <c r="BS247" s="1"/>
  <c r="BL247"/>
  <c r="BN247" s="1"/>
  <c r="BK247"/>
  <c r="BM247" s="1"/>
  <c r="Z247"/>
  <c r="W247"/>
  <c r="V247"/>
  <c r="Y247" s="1"/>
  <c r="BQ246"/>
  <c r="BP246"/>
  <c r="BR246" s="1"/>
  <c r="BS246" s="1"/>
  <c r="BL246"/>
  <c r="BK246"/>
  <c r="BM246" s="1"/>
  <c r="W246"/>
  <c r="Z246" s="1"/>
  <c r="V246"/>
  <c r="BR245"/>
  <c r="BQ245"/>
  <c r="BP245"/>
  <c r="BL245"/>
  <c r="BK245"/>
  <c r="BM245" s="1"/>
  <c r="Y245"/>
  <c r="W245"/>
  <c r="Z245" s="1"/>
  <c r="V245"/>
  <c r="BQ244"/>
  <c r="BP244"/>
  <c r="BR244" s="1"/>
  <c r="BL244"/>
  <c r="BK244"/>
  <c r="BM244" s="1"/>
  <c r="BN244" s="1"/>
  <c r="Z244"/>
  <c r="W244"/>
  <c r="V244"/>
  <c r="BR243"/>
  <c r="BQ243"/>
  <c r="BP243"/>
  <c r="BM243"/>
  <c r="BL243"/>
  <c r="BK243"/>
  <c r="W243"/>
  <c r="Z243" s="1"/>
  <c r="V243"/>
  <c r="Y243" s="1"/>
  <c r="BR242"/>
  <c r="BQ242"/>
  <c r="BP242"/>
  <c r="BL242"/>
  <c r="BK242"/>
  <c r="BM242" s="1"/>
  <c r="Y242"/>
  <c r="W242"/>
  <c r="Z242" s="1"/>
  <c r="V242"/>
  <c r="BQ241"/>
  <c r="BP241"/>
  <c r="BL241"/>
  <c r="BK241"/>
  <c r="BM241" s="1"/>
  <c r="BN241" s="1"/>
  <c r="Y241"/>
  <c r="W241"/>
  <c r="Z241" s="1"/>
  <c r="V241"/>
  <c r="BQ240"/>
  <c r="BP240"/>
  <c r="BR240" s="1"/>
  <c r="BL240"/>
  <c r="BK240"/>
  <c r="BM240" s="1"/>
  <c r="W240"/>
  <c r="Z240" s="1"/>
  <c r="V240"/>
  <c r="Y240" s="1"/>
  <c r="BQ239"/>
  <c r="BP239"/>
  <c r="BR239" s="1"/>
  <c r="BM239"/>
  <c r="BN239" s="1"/>
  <c r="BL239"/>
  <c r="BK239"/>
  <c r="W239"/>
  <c r="Z239" s="1"/>
  <c r="V239"/>
  <c r="BQ238"/>
  <c r="BP238"/>
  <c r="BR238" s="1"/>
  <c r="BM238"/>
  <c r="BL238"/>
  <c r="BK238"/>
  <c r="W238"/>
  <c r="Z238" s="1"/>
  <c r="V238"/>
  <c r="BQ237"/>
  <c r="BP237"/>
  <c r="BR237" s="1"/>
  <c r="BS237" s="1"/>
  <c r="BL237"/>
  <c r="BK237"/>
  <c r="BM237" s="1"/>
  <c r="Z237"/>
  <c r="W237"/>
  <c r="V237"/>
  <c r="Y237" s="1"/>
  <c r="BQ236"/>
  <c r="BP236"/>
  <c r="BR236" s="1"/>
  <c r="BL236"/>
  <c r="BK236"/>
  <c r="BM236" s="1"/>
  <c r="BN236" s="1"/>
  <c r="W236"/>
  <c r="Z236" s="1"/>
  <c r="V236"/>
  <c r="BR235"/>
  <c r="BQ235"/>
  <c r="BP235"/>
  <c r="BL235"/>
  <c r="BK235"/>
  <c r="BM235" s="1"/>
  <c r="W235"/>
  <c r="Z235" s="1"/>
  <c r="V235"/>
  <c r="Y235" s="1"/>
  <c r="BR234"/>
  <c r="BQ234"/>
  <c r="BP234"/>
  <c r="BL234"/>
  <c r="BK234"/>
  <c r="BM234" s="1"/>
  <c r="BN234" s="1"/>
  <c r="W234"/>
  <c r="Z234" s="1"/>
  <c r="V234"/>
  <c r="Y234" s="1"/>
  <c r="BQ233"/>
  <c r="BP233"/>
  <c r="BL233"/>
  <c r="BK233"/>
  <c r="W233"/>
  <c r="Z233" s="1"/>
  <c r="V233"/>
  <c r="Y233" s="1"/>
  <c r="BQ232"/>
  <c r="BP232"/>
  <c r="BR232" s="1"/>
  <c r="BS232" s="1"/>
  <c r="BM232"/>
  <c r="BL232"/>
  <c r="BK232"/>
  <c r="Y232"/>
  <c r="W232"/>
  <c r="Z232" s="1"/>
  <c r="V232"/>
  <c r="BQ231"/>
  <c r="BP231"/>
  <c r="BL231"/>
  <c r="BK231"/>
  <c r="BM231" s="1"/>
  <c r="BN231" s="1"/>
  <c r="W231"/>
  <c r="Z231" s="1"/>
  <c r="V231"/>
  <c r="BR230"/>
  <c r="BS230" s="1"/>
  <c r="BQ230"/>
  <c r="BP230"/>
  <c r="BL230"/>
  <c r="BK230"/>
  <c r="BM230" s="1"/>
  <c r="BN230" s="1"/>
  <c r="W230"/>
  <c r="Z230" s="1"/>
  <c r="V230"/>
  <c r="BR229"/>
  <c r="BQ229"/>
  <c r="BP229"/>
  <c r="BL229"/>
  <c r="BK229"/>
  <c r="Z229"/>
  <c r="W229"/>
  <c r="V229"/>
  <c r="Y229" s="1"/>
  <c r="AE229" s="1"/>
  <c r="AF229" s="1"/>
  <c r="BR228"/>
  <c r="BQ228"/>
  <c r="BP228"/>
  <c r="BL228"/>
  <c r="BK228"/>
  <c r="BM228" s="1"/>
  <c r="BN228" s="1"/>
  <c r="AK228"/>
  <c r="W228"/>
  <c r="Z228" s="1"/>
  <c r="V228"/>
  <c r="Y228" s="1"/>
  <c r="AA228" s="1"/>
  <c r="BQ227"/>
  <c r="BP227"/>
  <c r="BL227"/>
  <c r="BK227"/>
  <c r="Z227"/>
  <c r="W227"/>
  <c r="V227"/>
  <c r="BQ226"/>
  <c r="BP226"/>
  <c r="BR226" s="1"/>
  <c r="BS226" s="1"/>
  <c r="BL226"/>
  <c r="BK226"/>
  <c r="BM226" s="1"/>
  <c r="BN226" s="1"/>
  <c r="Y226"/>
  <c r="W226"/>
  <c r="Z226" s="1"/>
  <c r="V226"/>
  <c r="BQ225"/>
  <c r="BP225"/>
  <c r="BL225"/>
  <c r="BK225"/>
  <c r="W225"/>
  <c r="Z225" s="1"/>
  <c r="V225"/>
  <c r="BQ224"/>
  <c r="BP224"/>
  <c r="BM224"/>
  <c r="BL224"/>
  <c r="BN224" s="1"/>
  <c r="BK224"/>
  <c r="W224"/>
  <c r="Z224" s="1"/>
  <c r="V224"/>
  <c r="BR223"/>
  <c r="BQ223"/>
  <c r="BP223"/>
  <c r="BL223"/>
  <c r="BK223"/>
  <c r="Y223"/>
  <c r="AE223" s="1"/>
  <c r="W223"/>
  <c r="Z223" s="1"/>
  <c r="AF223" s="1"/>
  <c r="V223"/>
  <c r="BQ222"/>
  <c r="BP222"/>
  <c r="BM222"/>
  <c r="BN222" s="1"/>
  <c r="BL222"/>
  <c r="BK222"/>
  <c r="W222"/>
  <c r="Z222" s="1"/>
  <c r="V222"/>
  <c r="BR221"/>
  <c r="BQ221"/>
  <c r="BP221"/>
  <c r="BL221"/>
  <c r="BK221"/>
  <c r="Y221"/>
  <c r="AE221" s="1"/>
  <c r="W221"/>
  <c r="Z221" s="1"/>
  <c r="V221"/>
  <c r="BR220"/>
  <c r="BQ220"/>
  <c r="BP220"/>
  <c r="BM220"/>
  <c r="BN220" s="1"/>
  <c r="BL220"/>
  <c r="BK220"/>
  <c r="AK220"/>
  <c r="Y220"/>
  <c r="W220"/>
  <c r="Z220" s="1"/>
  <c r="V220"/>
  <c r="AM220" s="1"/>
  <c r="BQ219"/>
  <c r="BP219"/>
  <c r="BL219"/>
  <c r="BK219"/>
  <c r="W219"/>
  <c r="Z219" s="1"/>
  <c r="V219"/>
  <c r="BR218"/>
  <c r="BQ218"/>
  <c r="BP218"/>
  <c r="BM218"/>
  <c r="BN218" s="1"/>
  <c r="BL218"/>
  <c r="BK218"/>
  <c r="W218"/>
  <c r="Z218" s="1"/>
  <c r="V218"/>
  <c r="Y218" s="1"/>
  <c r="BQ217"/>
  <c r="BP217"/>
  <c r="BL217"/>
  <c r="BK217"/>
  <c r="Z217"/>
  <c r="W217"/>
  <c r="V217"/>
  <c r="BQ216"/>
  <c r="BP216"/>
  <c r="BL216"/>
  <c r="BK216"/>
  <c r="BM216" s="1"/>
  <c r="W216"/>
  <c r="Z216" s="1"/>
  <c r="V216"/>
  <c r="BQ215"/>
  <c r="BP215"/>
  <c r="BR215" s="1"/>
  <c r="BS215" s="1"/>
  <c r="BL215"/>
  <c r="BK215"/>
  <c r="Y215"/>
  <c r="AE215" s="1"/>
  <c r="W215"/>
  <c r="Z215" s="1"/>
  <c r="V215"/>
  <c r="BQ214"/>
  <c r="BP214"/>
  <c r="BM214"/>
  <c r="BN214" s="1"/>
  <c r="BL214"/>
  <c r="BK214"/>
  <c r="W214"/>
  <c r="Z214" s="1"/>
  <c r="V214"/>
  <c r="BR213"/>
  <c r="BQ213"/>
  <c r="BP213"/>
  <c r="BL213"/>
  <c r="BK213"/>
  <c r="Y213"/>
  <c r="AE213" s="1"/>
  <c r="W213"/>
  <c r="Z213" s="1"/>
  <c r="V213"/>
  <c r="BR212"/>
  <c r="BS212" s="1"/>
  <c r="BQ212"/>
  <c r="BP212"/>
  <c r="BM212"/>
  <c r="BL212"/>
  <c r="BK212"/>
  <c r="AK212"/>
  <c r="Y212"/>
  <c r="AA212" s="1"/>
  <c r="W212"/>
  <c r="Z212" s="1"/>
  <c r="V212"/>
  <c r="AM212" s="1"/>
  <c r="BQ211"/>
  <c r="BP211"/>
  <c r="BL211"/>
  <c r="BK211"/>
  <c r="Z211"/>
  <c r="W211"/>
  <c r="V211"/>
  <c r="BQ210"/>
  <c r="BP210"/>
  <c r="BR210" s="1"/>
  <c r="BM210"/>
  <c r="BN210" s="1"/>
  <c r="BL210"/>
  <c r="BK210"/>
  <c r="W210"/>
  <c r="Z210" s="1"/>
  <c r="V210"/>
  <c r="Y210" s="1"/>
  <c r="BQ209"/>
  <c r="BP209"/>
  <c r="BL209"/>
  <c r="BK209"/>
  <c r="W209"/>
  <c r="Z209" s="1"/>
  <c r="V209"/>
  <c r="BQ208"/>
  <c r="BP208"/>
  <c r="BL208"/>
  <c r="BK208"/>
  <c r="BM208" s="1"/>
  <c r="W208"/>
  <c r="Z208" s="1"/>
  <c r="V208"/>
  <c r="BQ207"/>
  <c r="BP207"/>
  <c r="BR207" s="1"/>
  <c r="BL207"/>
  <c r="BK207"/>
  <c r="Y207"/>
  <c r="AE207" s="1"/>
  <c r="AF207" s="1"/>
  <c r="W207"/>
  <c r="Z207" s="1"/>
  <c r="V207"/>
  <c r="BQ206"/>
  <c r="BP206"/>
  <c r="BL206"/>
  <c r="BK206"/>
  <c r="BM206" s="1"/>
  <c r="BN206" s="1"/>
  <c r="W206"/>
  <c r="Z206" s="1"/>
  <c r="V206"/>
  <c r="BR205"/>
  <c r="BQ205"/>
  <c r="BP205"/>
  <c r="BL205"/>
  <c r="BK205"/>
  <c r="BM205" s="1"/>
  <c r="Y205"/>
  <c r="AH205" s="1"/>
  <c r="AI205" s="1"/>
  <c r="W205"/>
  <c r="Z205" s="1"/>
  <c r="V205"/>
  <c r="BQ204"/>
  <c r="BS204" s="1"/>
  <c r="BP204"/>
  <c r="BR204" s="1"/>
  <c r="BL204"/>
  <c r="BK204"/>
  <c r="BM204" s="1"/>
  <c r="BN204" s="1"/>
  <c r="Z204"/>
  <c r="W204"/>
  <c r="V204"/>
  <c r="BQ203"/>
  <c r="BP203"/>
  <c r="BR203" s="1"/>
  <c r="BL203"/>
  <c r="BK203"/>
  <c r="BM203" s="1"/>
  <c r="BN203" s="1"/>
  <c r="W203"/>
  <c r="Z203" s="1"/>
  <c r="V203"/>
  <c r="Y203" s="1"/>
  <c r="AA203" s="1"/>
  <c r="AB203" s="1"/>
  <c r="BQ202"/>
  <c r="BP202"/>
  <c r="BR202" s="1"/>
  <c r="BL202"/>
  <c r="BK202"/>
  <c r="BM202" s="1"/>
  <c r="BN202" s="1"/>
  <c r="W202"/>
  <c r="Z202" s="1"/>
  <c r="V202"/>
  <c r="Y202" s="1"/>
  <c r="BQ201"/>
  <c r="BP201"/>
  <c r="BL201"/>
  <c r="BK201"/>
  <c r="BM201" s="1"/>
  <c r="BN201" s="1"/>
  <c r="W201"/>
  <c r="Z201" s="1"/>
  <c r="V201"/>
  <c r="Y201" s="1"/>
  <c r="BQ200"/>
  <c r="BP200"/>
  <c r="BR200" s="1"/>
  <c r="BL200"/>
  <c r="BK200"/>
  <c r="BM200" s="1"/>
  <c r="Y200"/>
  <c r="W200"/>
  <c r="Z200" s="1"/>
  <c r="V200"/>
  <c r="BR199"/>
  <c r="BQ199"/>
  <c r="BP199"/>
  <c r="BL199"/>
  <c r="BK199"/>
  <c r="BM199" s="1"/>
  <c r="BN199" s="1"/>
  <c r="W199"/>
  <c r="Z199" s="1"/>
  <c r="V199"/>
  <c r="Y199" s="1"/>
  <c r="AH199" s="1"/>
  <c r="BR198"/>
  <c r="BQ198"/>
  <c r="BP198"/>
  <c r="BL198"/>
  <c r="BK198"/>
  <c r="Y198"/>
  <c r="AH198" s="1"/>
  <c r="AI198" s="1"/>
  <c r="W198"/>
  <c r="Z198" s="1"/>
  <c r="V198"/>
  <c r="BQ197"/>
  <c r="BP197"/>
  <c r="BR197" s="1"/>
  <c r="BS197" s="1"/>
  <c r="BL197"/>
  <c r="BK197"/>
  <c r="Y197"/>
  <c r="AH197" s="1"/>
  <c r="AI197" s="1"/>
  <c r="W197"/>
  <c r="Z197" s="1"/>
  <c r="V197"/>
  <c r="BQ196"/>
  <c r="BP196"/>
  <c r="BM196"/>
  <c r="BL196"/>
  <c r="BK196"/>
  <c r="Z196"/>
  <c r="W196"/>
  <c r="V196"/>
  <c r="BQ195"/>
  <c r="BP195"/>
  <c r="BR195" s="1"/>
  <c r="BS195" s="1"/>
  <c r="BM195"/>
  <c r="BL195"/>
  <c r="BK195"/>
  <c r="W195"/>
  <c r="Z195" s="1"/>
  <c r="V195"/>
  <c r="Y195" s="1"/>
  <c r="AA195" s="1"/>
  <c r="BQ194"/>
  <c r="BP194"/>
  <c r="BR194" s="1"/>
  <c r="BL194"/>
  <c r="BK194"/>
  <c r="BM194" s="1"/>
  <c r="BN194" s="1"/>
  <c r="Y194"/>
  <c r="W194"/>
  <c r="Z194" s="1"/>
  <c r="V194"/>
  <c r="BQ193"/>
  <c r="BP193"/>
  <c r="BL193"/>
  <c r="BK193"/>
  <c r="BM193" s="1"/>
  <c r="W193"/>
  <c r="V193"/>
  <c r="Y193" s="1"/>
  <c r="AE193" s="1"/>
  <c r="BQ192"/>
  <c r="BS192" s="1"/>
  <c r="BP192"/>
  <c r="BR192" s="1"/>
  <c r="BM192"/>
  <c r="BN192" s="1"/>
  <c r="BL192"/>
  <c r="BK192"/>
  <c r="Z192"/>
  <c r="W192"/>
  <c r="V192"/>
  <c r="Y192" s="1"/>
  <c r="AE192" s="1"/>
  <c r="AF192" s="1"/>
  <c r="BQ191"/>
  <c r="BP191"/>
  <c r="BR191" s="1"/>
  <c r="BM191"/>
  <c r="BN191" s="1"/>
  <c r="BL191"/>
  <c r="BK191"/>
  <c r="AE191"/>
  <c r="AA191"/>
  <c r="W191"/>
  <c r="V191"/>
  <c r="Y191" s="1"/>
  <c r="AH191" s="1"/>
  <c r="BQ190"/>
  <c r="BP190"/>
  <c r="BR190" s="1"/>
  <c r="BS190" s="1"/>
  <c r="BL190"/>
  <c r="BK190"/>
  <c r="Y190"/>
  <c r="AA190" s="1"/>
  <c r="AB190" s="1"/>
  <c r="W190"/>
  <c r="Z190" s="1"/>
  <c r="V190"/>
  <c r="BQ189"/>
  <c r="BP189"/>
  <c r="BL189"/>
  <c r="BK189"/>
  <c r="Y189"/>
  <c r="AA189" s="1"/>
  <c r="AB189" s="1"/>
  <c r="W189"/>
  <c r="Z189" s="1"/>
  <c r="V189"/>
  <c r="BQ188"/>
  <c r="BP188"/>
  <c r="BR188" s="1"/>
  <c r="BL188"/>
  <c r="BK188"/>
  <c r="Y188"/>
  <c r="AH188" s="1"/>
  <c r="AI188" s="1"/>
  <c r="W188"/>
  <c r="Z188" s="1"/>
  <c r="V188"/>
  <c r="BQ187"/>
  <c r="BP187"/>
  <c r="BM187"/>
  <c r="BL187"/>
  <c r="BK187"/>
  <c r="Z187"/>
  <c r="W187"/>
  <c r="V187"/>
  <c r="BR186"/>
  <c r="BQ186"/>
  <c r="BP186"/>
  <c r="BM186"/>
  <c r="BN186" s="1"/>
  <c r="BL186"/>
  <c r="BK186"/>
  <c r="W186"/>
  <c r="Z186" s="1"/>
  <c r="V186"/>
  <c r="Y186" s="1"/>
  <c r="AA186" s="1"/>
  <c r="BR185"/>
  <c r="BQ185"/>
  <c r="BP185"/>
  <c r="BM185"/>
  <c r="BN185" s="1"/>
  <c r="BL185"/>
  <c r="BK185"/>
  <c r="Y185"/>
  <c r="W185"/>
  <c r="Z185" s="1"/>
  <c r="V185"/>
  <c r="BQ184"/>
  <c r="BP184"/>
  <c r="BL184"/>
  <c r="BK184"/>
  <c r="BM184" s="1"/>
  <c r="Y184"/>
  <c r="W184"/>
  <c r="Z184" s="1"/>
  <c r="V184"/>
  <c r="BQ183"/>
  <c r="BS183" s="1"/>
  <c r="BP183"/>
  <c r="BR183" s="1"/>
  <c r="BM183"/>
  <c r="BN183" s="1"/>
  <c r="BL183"/>
  <c r="BK183"/>
  <c r="Y183"/>
  <c r="W183"/>
  <c r="Z183" s="1"/>
  <c r="V183"/>
  <c r="BQ182"/>
  <c r="BP182"/>
  <c r="BR182" s="1"/>
  <c r="BL182"/>
  <c r="BK182"/>
  <c r="BM182" s="1"/>
  <c r="BN182" s="1"/>
  <c r="W182"/>
  <c r="AM182" s="1"/>
  <c r="V182"/>
  <c r="Y182" s="1"/>
  <c r="AH182" s="1"/>
  <c r="BR181"/>
  <c r="BS181" s="1"/>
  <c r="BQ181"/>
  <c r="BP181"/>
  <c r="BL181"/>
  <c r="BK181"/>
  <c r="W181"/>
  <c r="Z181" s="1"/>
  <c r="V181"/>
  <c r="Y181" s="1"/>
  <c r="BQ180"/>
  <c r="BP180"/>
  <c r="BR180" s="1"/>
  <c r="BL180"/>
  <c r="BK180"/>
  <c r="AH180"/>
  <c r="Y180"/>
  <c r="W180"/>
  <c r="Z180" s="1"/>
  <c r="V180"/>
  <c r="BQ179"/>
  <c r="BP179"/>
  <c r="BR179" s="1"/>
  <c r="BL179"/>
  <c r="BK179"/>
  <c r="BM179" s="1"/>
  <c r="BG179"/>
  <c r="BI179" s="1"/>
  <c r="BF179"/>
  <c r="BH179" s="1"/>
  <c r="Z179"/>
  <c r="Y179"/>
  <c r="AH179" s="1"/>
  <c r="W179"/>
  <c r="V179"/>
  <c r="BQ178"/>
  <c r="BP178"/>
  <c r="BM178"/>
  <c r="BN178" s="1"/>
  <c r="BL178"/>
  <c r="BK178"/>
  <c r="BJ178"/>
  <c r="BH178"/>
  <c r="BI178" s="1"/>
  <c r="BG178"/>
  <c r="BF178"/>
  <c r="W178"/>
  <c r="Z178" s="1"/>
  <c r="V178"/>
  <c r="BR177"/>
  <c r="BS177" s="1"/>
  <c r="BQ177"/>
  <c r="BP177"/>
  <c r="BL177"/>
  <c r="BK177"/>
  <c r="BH177"/>
  <c r="BG177"/>
  <c r="BF177"/>
  <c r="Y177"/>
  <c r="W177"/>
  <c r="Z177" s="1"/>
  <c r="V177"/>
  <c r="BR176"/>
  <c r="BS176" s="1"/>
  <c r="BT176" s="1"/>
  <c r="BQ176"/>
  <c r="BP176"/>
  <c r="BL176"/>
  <c r="BK176"/>
  <c r="BM176" s="1"/>
  <c r="BN176" s="1"/>
  <c r="BG176"/>
  <c r="BF176"/>
  <c r="W176"/>
  <c r="Z176" s="1"/>
  <c r="V176"/>
  <c r="Y176" s="1"/>
  <c r="AA176" s="1"/>
  <c r="BQ175"/>
  <c r="BP175"/>
  <c r="BR175" s="1"/>
  <c r="BL175"/>
  <c r="BK175"/>
  <c r="BG175"/>
  <c r="BF175"/>
  <c r="BH175" s="1"/>
  <c r="W175"/>
  <c r="Z175" s="1"/>
  <c r="V175"/>
  <c r="Y175" s="1"/>
  <c r="BQ174"/>
  <c r="BP174"/>
  <c r="BM174"/>
  <c r="BL174"/>
  <c r="BN174" s="1"/>
  <c r="BK174"/>
  <c r="BG174"/>
  <c r="BF174"/>
  <c r="BH174" s="1"/>
  <c r="W174"/>
  <c r="Z174" s="1"/>
  <c r="V174"/>
  <c r="BR173"/>
  <c r="BQ173"/>
  <c r="BP173"/>
  <c r="BL173"/>
  <c r="BK173"/>
  <c r="BH173"/>
  <c r="BG173"/>
  <c r="BF173"/>
  <c r="Z173"/>
  <c r="W173"/>
  <c r="V173"/>
  <c r="BQ172"/>
  <c r="BP172"/>
  <c r="BR172" s="1"/>
  <c r="BM172"/>
  <c r="BL172"/>
  <c r="BK172"/>
  <c r="BH172"/>
  <c r="BG172"/>
  <c r="BF172"/>
  <c r="W172"/>
  <c r="Z172" s="1"/>
  <c r="V172"/>
  <c r="Y172" s="1"/>
  <c r="AA172" s="1"/>
  <c r="BQ171"/>
  <c r="BP171"/>
  <c r="BL171"/>
  <c r="BK171"/>
  <c r="BG171"/>
  <c r="BF171"/>
  <c r="BH171" s="1"/>
  <c r="Z171"/>
  <c r="W171"/>
  <c r="V171"/>
  <c r="Y171" s="1"/>
  <c r="BQ170"/>
  <c r="BP170"/>
  <c r="BM170"/>
  <c r="BN170" s="1"/>
  <c r="BL170"/>
  <c r="BK170"/>
  <c r="BH170"/>
  <c r="BI170" s="1"/>
  <c r="BG170"/>
  <c r="BF170"/>
  <c r="W170"/>
  <c r="Z170" s="1"/>
  <c r="V170"/>
  <c r="BQ169"/>
  <c r="BP169"/>
  <c r="BR169" s="1"/>
  <c r="BS169" s="1"/>
  <c r="BL169"/>
  <c r="BK169"/>
  <c r="BH169"/>
  <c r="BG169"/>
  <c r="BF169"/>
  <c r="Y169"/>
  <c r="W169"/>
  <c r="Z169" s="1"/>
  <c r="V169"/>
  <c r="BQ168"/>
  <c r="BP168"/>
  <c r="BR168" s="1"/>
  <c r="BL168"/>
  <c r="BK168"/>
  <c r="BM168" s="1"/>
  <c r="BN168" s="1"/>
  <c r="BG168"/>
  <c r="BF168"/>
  <c r="W168"/>
  <c r="V168"/>
  <c r="Y168" s="1"/>
  <c r="AA168" s="1"/>
  <c r="BQ167"/>
  <c r="BP167"/>
  <c r="BR167" s="1"/>
  <c r="BL167"/>
  <c r="BK167"/>
  <c r="BG167"/>
  <c r="BF167"/>
  <c r="W167"/>
  <c r="Z167" s="1"/>
  <c r="V167"/>
  <c r="Y167" s="1"/>
  <c r="AE167" s="1"/>
  <c r="AF167" s="1"/>
  <c r="BQ166"/>
  <c r="BP166"/>
  <c r="BM166"/>
  <c r="BL166"/>
  <c r="BN166" s="1"/>
  <c r="BK166"/>
  <c r="BG166"/>
  <c r="BF166"/>
  <c r="BH166" s="1"/>
  <c r="W166"/>
  <c r="Z166" s="1"/>
  <c r="V166"/>
  <c r="BR165"/>
  <c r="BS165" s="1"/>
  <c r="BQ165"/>
  <c r="BP165"/>
  <c r="BL165"/>
  <c r="BK165"/>
  <c r="BH165"/>
  <c r="BG165"/>
  <c r="BF165"/>
  <c r="Z165"/>
  <c r="W165"/>
  <c r="V165"/>
  <c r="BR164"/>
  <c r="BQ164"/>
  <c r="BP164"/>
  <c r="BM164"/>
  <c r="BL164"/>
  <c r="BK164"/>
  <c r="BH164"/>
  <c r="BG164"/>
  <c r="BF164"/>
  <c r="W164"/>
  <c r="Z164" s="1"/>
  <c r="V164"/>
  <c r="Y164" s="1"/>
  <c r="AA164" s="1"/>
  <c r="BQ163"/>
  <c r="BP163"/>
  <c r="BL163"/>
  <c r="BK163"/>
  <c r="BG163"/>
  <c r="BF163"/>
  <c r="BH163" s="1"/>
  <c r="BA163"/>
  <c r="AZ163"/>
  <c r="BB163" s="1"/>
  <c r="Y163"/>
  <c r="W163"/>
  <c r="Z163" s="1"/>
  <c r="V163"/>
  <c r="BQ162"/>
  <c r="BP162"/>
  <c r="BR162" s="1"/>
  <c r="BS162" s="1"/>
  <c r="BM162"/>
  <c r="BN162" s="1"/>
  <c r="BL162"/>
  <c r="BK162"/>
  <c r="BG162"/>
  <c r="BF162"/>
  <c r="BA162"/>
  <c r="AZ162"/>
  <c r="BB162" s="1"/>
  <c r="W162"/>
  <c r="Z162" s="1"/>
  <c r="V162"/>
  <c r="AM162" s="1"/>
  <c r="BQ161"/>
  <c r="BP161"/>
  <c r="BL161"/>
  <c r="BK161"/>
  <c r="BM161" s="1"/>
  <c r="BN161" s="1"/>
  <c r="BH161"/>
  <c r="BG161"/>
  <c r="BI161" s="1"/>
  <c r="BJ160" s="1"/>
  <c r="BF161"/>
  <c r="BB161"/>
  <c r="BC161" s="1"/>
  <c r="BA161"/>
  <c r="AZ161"/>
  <c r="W161"/>
  <c r="Z161" s="1"/>
  <c r="V161"/>
  <c r="BQ160"/>
  <c r="BP160"/>
  <c r="BR160" s="1"/>
  <c r="BO160"/>
  <c r="BL160"/>
  <c r="BN160" s="1"/>
  <c r="BK160"/>
  <c r="BM160" s="1"/>
  <c r="BH160"/>
  <c r="BG160"/>
  <c r="BI160" s="1"/>
  <c r="BF160"/>
  <c r="BB160"/>
  <c r="BA160"/>
  <c r="AZ160"/>
  <c r="W160"/>
  <c r="Z160" s="1"/>
  <c r="V160"/>
  <c r="AM160" s="1"/>
  <c r="BQ159"/>
  <c r="BP159"/>
  <c r="BR159" s="1"/>
  <c r="BS159" s="1"/>
  <c r="BL159"/>
  <c r="BK159"/>
  <c r="BG159"/>
  <c r="BF159"/>
  <c r="BB159"/>
  <c r="BA159"/>
  <c r="AZ159"/>
  <c r="Y159"/>
  <c r="AE159" s="1"/>
  <c r="W159"/>
  <c r="Z159" s="1"/>
  <c r="V159"/>
  <c r="BQ158"/>
  <c r="BP158"/>
  <c r="BM158"/>
  <c r="BN158" s="1"/>
  <c r="BL158"/>
  <c r="BK158"/>
  <c r="BG158"/>
  <c r="BF158"/>
  <c r="BA158"/>
  <c r="AZ158"/>
  <c r="BB158" s="1"/>
  <c r="Y158"/>
  <c r="W158"/>
  <c r="Z158" s="1"/>
  <c r="V158"/>
  <c r="AM158" s="1"/>
  <c r="BQ157"/>
  <c r="BP157"/>
  <c r="BL157"/>
  <c r="BK157"/>
  <c r="BM157" s="1"/>
  <c r="BH157"/>
  <c r="BG157"/>
  <c r="BI157" s="1"/>
  <c r="BF157"/>
  <c r="BB157"/>
  <c r="BA157"/>
  <c r="AZ157"/>
  <c r="W157"/>
  <c r="Z157" s="1"/>
  <c r="V157"/>
  <c r="BQ156"/>
  <c r="BP156"/>
  <c r="BR156" s="1"/>
  <c r="BS156" s="1"/>
  <c r="BL156"/>
  <c r="BN156" s="1"/>
  <c r="BK156"/>
  <c r="BM156" s="1"/>
  <c r="BH156"/>
  <c r="BG156"/>
  <c r="BF156"/>
  <c r="BA156"/>
  <c r="AZ156"/>
  <c r="BB156" s="1"/>
  <c r="W156"/>
  <c r="Z156" s="1"/>
  <c r="V156"/>
  <c r="Y156" s="1"/>
  <c r="AE156" s="1"/>
  <c r="AF156" s="1"/>
  <c r="BQ155"/>
  <c r="BP155"/>
  <c r="BL155"/>
  <c r="BK155"/>
  <c r="BV155" s="1"/>
  <c r="BW155" s="1"/>
  <c r="BI155"/>
  <c r="BH155"/>
  <c r="BG155"/>
  <c r="BF155"/>
  <c r="BA155"/>
  <c r="AZ155"/>
  <c r="Y155"/>
  <c r="AA155" s="1"/>
  <c r="AB155" s="1"/>
  <c r="W155"/>
  <c r="Z155" s="1"/>
  <c r="V155"/>
  <c r="BR154"/>
  <c r="BQ154"/>
  <c r="BP154"/>
  <c r="BL154"/>
  <c r="BK154"/>
  <c r="BH154"/>
  <c r="BG154"/>
  <c r="BI154" s="1"/>
  <c r="BJ154" s="1"/>
  <c r="BF154"/>
  <c r="BB154"/>
  <c r="BA154"/>
  <c r="AZ154"/>
  <c r="W154"/>
  <c r="Z154" s="1"/>
  <c r="V154"/>
  <c r="BV153"/>
  <c r="BW153" s="1"/>
  <c r="BQ153"/>
  <c r="BP153"/>
  <c r="BR153" s="1"/>
  <c r="BM153"/>
  <c r="BL153"/>
  <c r="BN153" s="1"/>
  <c r="BK153"/>
  <c r="BG153"/>
  <c r="BF153"/>
  <c r="BH153" s="1"/>
  <c r="BI153" s="1"/>
  <c r="BA153"/>
  <c r="AZ153"/>
  <c r="W153"/>
  <c r="Z153" s="1"/>
  <c r="V153"/>
  <c r="Y153" s="1"/>
  <c r="AH153" s="1"/>
  <c r="BQ152"/>
  <c r="BP152"/>
  <c r="BR152" s="1"/>
  <c r="BS152" s="1"/>
  <c r="BL152"/>
  <c r="BK152"/>
  <c r="BG152"/>
  <c r="BF152"/>
  <c r="BH152" s="1"/>
  <c r="BB152"/>
  <c r="BA152"/>
  <c r="AZ152"/>
  <c r="Z152"/>
  <c r="W152"/>
  <c r="V152"/>
  <c r="Y152" s="1"/>
  <c r="BQ151"/>
  <c r="BP151"/>
  <c r="BR151" s="1"/>
  <c r="BL151"/>
  <c r="BK151"/>
  <c r="BV151" s="1"/>
  <c r="BH151"/>
  <c r="BG151"/>
  <c r="BF151"/>
  <c r="BA151"/>
  <c r="AZ151"/>
  <c r="Z151"/>
  <c r="W151"/>
  <c r="V151"/>
  <c r="Y151" s="1"/>
  <c r="AE151" s="1"/>
  <c r="AF151" s="1"/>
  <c r="BR150"/>
  <c r="BQ150"/>
  <c r="BP150"/>
  <c r="BL150"/>
  <c r="BK150"/>
  <c r="BH150"/>
  <c r="BG150"/>
  <c r="BI150" s="1"/>
  <c r="BF150"/>
  <c r="BB150"/>
  <c r="BA150"/>
  <c r="BC150" s="1"/>
  <c r="AZ150"/>
  <c r="Z150"/>
  <c r="W150"/>
  <c r="V150"/>
  <c r="BQ149"/>
  <c r="BP149"/>
  <c r="BR149" s="1"/>
  <c r="BL149"/>
  <c r="BK149"/>
  <c r="BV149" s="1"/>
  <c r="BW149" s="1"/>
  <c r="BG149"/>
  <c r="BF149"/>
  <c r="BH149" s="1"/>
  <c r="BI149" s="1"/>
  <c r="BA149"/>
  <c r="AZ149"/>
  <c r="AH149"/>
  <c r="Y149"/>
  <c r="W149"/>
  <c r="Z149" s="1"/>
  <c r="V149"/>
  <c r="BQ148"/>
  <c r="BP148"/>
  <c r="BR148" s="1"/>
  <c r="BS148" s="1"/>
  <c r="BL148"/>
  <c r="BK148"/>
  <c r="BG148"/>
  <c r="BF148"/>
  <c r="BH148" s="1"/>
  <c r="BB148"/>
  <c r="BA148"/>
  <c r="AZ148"/>
  <c r="W148"/>
  <c r="Z148" s="1"/>
  <c r="V148"/>
  <c r="Y148" s="1"/>
  <c r="BQ147"/>
  <c r="BP147"/>
  <c r="BR147" s="1"/>
  <c r="BL147"/>
  <c r="BK147"/>
  <c r="BV147" s="1"/>
  <c r="BH147"/>
  <c r="BG147"/>
  <c r="BF147"/>
  <c r="BA147"/>
  <c r="AZ147"/>
  <c r="Y147"/>
  <c r="W147"/>
  <c r="Z147" s="1"/>
  <c r="V147"/>
  <c r="BQ146"/>
  <c r="BP146"/>
  <c r="BR146" s="1"/>
  <c r="BL146"/>
  <c r="BK146"/>
  <c r="BH146"/>
  <c r="BG146"/>
  <c r="BI146" s="1"/>
  <c r="BF146"/>
  <c r="BA146"/>
  <c r="AZ146"/>
  <c r="BB146" s="1"/>
  <c r="W146"/>
  <c r="Z146" s="1"/>
  <c r="V146"/>
  <c r="BQ145"/>
  <c r="BP145"/>
  <c r="BR145" s="1"/>
  <c r="BS145" s="1"/>
  <c r="BL145"/>
  <c r="BK145"/>
  <c r="BV145" s="1"/>
  <c r="BW145" s="1"/>
  <c r="BG145"/>
  <c r="BF145"/>
  <c r="BH145" s="1"/>
  <c r="BA145"/>
  <c r="AZ145"/>
  <c r="W145"/>
  <c r="Z145" s="1"/>
  <c r="V145"/>
  <c r="Y145" s="1"/>
  <c r="AH145" s="1"/>
  <c r="BQ144"/>
  <c r="BP144"/>
  <c r="BR144" s="1"/>
  <c r="BS144" s="1"/>
  <c r="BL144"/>
  <c r="BK144"/>
  <c r="BG144"/>
  <c r="BF144"/>
  <c r="BH144" s="1"/>
  <c r="BB144"/>
  <c r="BA144"/>
  <c r="AZ144"/>
  <c r="Z144"/>
  <c r="W144"/>
  <c r="V144"/>
  <c r="Y144" s="1"/>
  <c r="BV143"/>
  <c r="BR143"/>
  <c r="BQ143"/>
  <c r="BP143"/>
  <c r="BM143"/>
  <c r="BL143"/>
  <c r="BN143" s="1"/>
  <c r="BK143"/>
  <c r="BH143"/>
  <c r="BI143" s="1"/>
  <c r="BG143"/>
  <c r="BF143"/>
  <c r="BA143"/>
  <c r="AZ143"/>
  <c r="Z143"/>
  <c r="W143"/>
  <c r="V143"/>
  <c r="Y143" s="1"/>
  <c r="AE143" s="1"/>
  <c r="AF143" s="1"/>
  <c r="BQ142"/>
  <c r="BP142"/>
  <c r="BR142" s="1"/>
  <c r="BL142"/>
  <c r="BK142"/>
  <c r="BH142"/>
  <c r="BG142"/>
  <c r="BI142" s="1"/>
  <c r="BF142"/>
  <c r="BA142"/>
  <c r="AZ142"/>
  <c r="BB142" s="1"/>
  <c r="Z142"/>
  <c r="W142"/>
  <c r="V142"/>
  <c r="BW141"/>
  <c r="BV141"/>
  <c r="BQ141"/>
  <c r="BP141"/>
  <c r="BR141" s="1"/>
  <c r="BS141" s="1"/>
  <c r="BM141"/>
  <c r="BL141"/>
  <c r="BK141"/>
  <c r="BG141"/>
  <c r="BF141"/>
  <c r="BH141" s="1"/>
  <c r="BA141"/>
  <c r="AZ141"/>
  <c r="AH141"/>
  <c r="Y141"/>
  <c r="W141"/>
  <c r="Z141" s="1"/>
  <c r="V141"/>
  <c r="BQ140"/>
  <c r="BP140"/>
  <c r="BR140" s="1"/>
  <c r="BS140" s="1"/>
  <c r="BL140"/>
  <c r="BK140"/>
  <c r="BG140"/>
  <c r="BF140"/>
  <c r="BH140" s="1"/>
  <c r="BA140"/>
  <c r="AZ140"/>
  <c r="BB140" s="1"/>
  <c r="W140"/>
  <c r="Z140" s="1"/>
  <c r="V140"/>
  <c r="BV139"/>
  <c r="BR139"/>
  <c r="BQ139"/>
  <c r="BP139"/>
  <c r="BM139"/>
  <c r="BL139"/>
  <c r="BN139" s="1"/>
  <c r="BK139"/>
  <c r="BH139"/>
  <c r="BI139" s="1"/>
  <c r="BG139"/>
  <c r="BF139"/>
  <c r="BA139"/>
  <c r="AZ139"/>
  <c r="AV139"/>
  <c r="AX139" s="1"/>
  <c r="AU139"/>
  <c r="AW139" s="1"/>
  <c r="AP139"/>
  <c r="W139"/>
  <c r="Z139" s="1"/>
  <c r="V139"/>
  <c r="Y139" s="1"/>
  <c r="AH139" s="1"/>
  <c r="BQ138"/>
  <c r="BS138" s="1"/>
  <c r="BP138"/>
  <c r="BR138" s="1"/>
  <c r="BL138"/>
  <c r="BK138"/>
  <c r="BG138"/>
  <c r="BF138"/>
  <c r="BH138" s="1"/>
  <c r="BA138"/>
  <c r="AZ138"/>
  <c r="BB138" s="1"/>
  <c r="AV138"/>
  <c r="AU138"/>
  <c r="AW138" s="1"/>
  <c r="AX138" s="1"/>
  <c r="AP138"/>
  <c r="AH138"/>
  <c r="Y138"/>
  <c r="W138"/>
  <c r="V138"/>
  <c r="BQ137"/>
  <c r="BS137" s="1"/>
  <c r="BP137"/>
  <c r="BR137" s="1"/>
  <c r="BL137"/>
  <c r="BK137"/>
  <c r="BG137"/>
  <c r="BF137"/>
  <c r="BH137" s="1"/>
  <c r="BB137"/>
  <c r="BA137"/>
  <c r="AZ137"/>
  <c r="AV137"/>
  <c r="AU137"/>
  <c r="AW137" s="1"/>
  <c r="AX137" s="1"/>
  <c r="AP137"/>
  <c r="W137"/>
  <c r="AM137" s="1"/>
  <c r="V137"/>
  <c r="Y137" s="1"/>
  <c r="AH137" s="1"/>
  <c r="BQ136"/>
  <c r="BS136" s="1"/>
  <c r="BP136"/>
  <c r="BR136" s="1"/>
  <c r="BL136"/>
  <c r="BK136"/>
  <c r="BG136"/>
  <c r="BF136"/>
  <c r="BH136" s="1"/>
  <c r="BA136"/>
  <c r="AZ136"/>
  <c r="BB136" s="1"/>
  <c r="AV136"/>
  <c r="AU136"/>
  <c r="AW136" s="1"/>
  <c r="AX136" s="1"/>
  <c r="AP136"/>
  <c r="AH136"/>
  <c r="Y136"/>
  <c r="W136"/>
  <c r="V136"/>
  <c r="BQ135"/>
  <c r="BS135" s="1"/>
  <c r="BP135"/>
  <c r="BR135" s="1"/>
  <c r="BL135"/>
  <c r="BK135"/>
  <c r="BG135"/>
  <c r="BF135"/>
  <c r="BH135" s="1"/>
  <c r="BB135"/>
  <c r="BA135"/>
  <c r="AZ135"/>
  <c r="AV135"/>
  <c r="AU135"/>
  <c r="AW135" s="1"/>
  <c r="AX135" s="1"/>
  <c r="AP135"/>
  <c r="W135"/>
  <c r="AM135" s="1"/>
  <c r="V135"/>
  <c r="Y135" s="1"/>
  <c r="AH135" s="1"/>
  <c r="BS134"/>
  <c r="BQ134"/>
  <c r="BP134"/>
  <c r="BR134" s="1"/>
  <c r="BL134"/>
  <c r="BK134"/>
  <c r="BG134"/>
  <c r="BF134"/>
  <c r="BH134" s="1"/>
  <c r="BA134"/>
  <c r="AZ134"/>
  <c r="BB134" s="1"/>
  <c r="AV134"/>
  <c r="AU134"/>
  <c r="AW134" s="1"/>
  <c r="AX134" s="1"/>
  <c r="AP134"/>
  <c r="AH134"/>
  <c r="Y134"/>
  <c r="W134"/>
  <c r="V134"/>
  <c r="BS133"/>
  <c r="BQ133"/>
  <c r="BP133"/>
  <c r="BR133" s="1"/>
  <c r="BL133"/>
  <c r="BK133"/>
  <c r="BG133"/>
  <c r="BF133"/>
  <c r="BH133" s="1"/>
  <c r="BB133"/>
  <c r="BA133"/>
  <c r="AZ133"/>
  <c r="AV133"/>
  <c r="AU133"/>
  <c r="AW133" s="1"/>
  <c r="AX133" s="1"/>
  <c r="AP133"/>
  <c r="W133"/>
  <c r="AM133" s="1"/>
  <c r="V133"/>
  <c r="Y133" s="1"/>
  <c r="AH133" s="1"/>
  <c r="BQ132"/>
  <c r="BS132" s="1"/>
  <c r="BT132" s="1"/>
  <c r="BP132"/>
  <c r="BR132" s="1"/>
  <c r="BL132"/>
  <c r="BK132"/>
  <c r="BG132"/>
  <c r="BF132"/>
  <c r="BH132" s="1"/>
  <c r="BA132"/>
  <c r="AZ132"/>
  <c r="BB132" s="1"/>
  <c r="AV132"/>
  <c r="AU132"/>
  <c r="AW132" s="1"/>
  <c r="AX132" s="1"/>
  <c r="AP132"/>
  <c r="Z132"/>
  <c r="W132"/>
  <c r="V132"/>
  <c r="BV131"/>
  <c r="BR131"/>
  <c r="BQ131"/>
  <c r="BP131"/>
  <c r="BM131"/>
  <c r="BN131" s="1"/>
  <c r="BL131"/>
  <c r="BK131"/>
  <c r="BG131"/>
  <c r="BF131"/>
  <c r="BA131"/>
  <c r="AZ131"/>
  <c r="BB131" s="1"/>
  <c r="AV131"/>
  <c r="AU131"/>
  <c r="AW131" s="1"/>
  <c r="AP131"/>
  <c r="AR131" s="1"/>
  <c r="W131"/>
  <c r="Z131" s="1"/>
  <c r="AB131" s="1"/>
  <c r="V131"/>
  <c r="Y131" s="1"/>
  <c r="AA131" s="1"/>
  <c r="BR130"/>
  <c r="BQ130"/>
  <c r="BP130"/>
  <c r="BL130"/>
  <c r="BK130"/>
  <c r="BV130" s="1"/>
  <c r="BH130"/>
  <c r="BI130" s="1"/>
  <c r="BG130"/>
  <c r="BF130"/>
  <c r="BA130"/>
  <c r="BC130" s="1"/>
  <c r="AZ130"/>
  <c r="BB130" s="1"/>
  <c r="AW130"/>
  <c r="AV130"/>
  <c r="AU130"/>
  <c r="AP130"/>
  <c r="AR130" s="1"/>
  <c r="AE130"/>
  <c r="W130"/>
  <c r="V130"/>
  <c r="Y130" s="1"/>
  <c r="AH130" s="1"/>
  <c r="BQ129"/>
  <c r="BP129"/>
  <c r="BR129" s="1"/>
  <c r="BL129"/>
  <c r="BK129"/>
  <c r="BV129" s="1"/>
  <c r="BW129" s="1"/>
  <c r="BH129"/>
  <c r="BI129" s="1"/>
  <c r="BG129"/>
  <c r="BF129"/>
  <c r="BA129"/>
  <c r="AZ129"/>
  <c r="BB129" s="1"/>
  <c r="AW129"/>
  <c r="AV129"/>
  <c r="AX129" s="1"/>
  <c r="AU129"/>
  <c r="AR129"/>
  <c r="AP129"/>
  <c r="Z129"/>
  <c r="W129"/>
  <c r="V129"/>
  <c r="BQ128"/>
  <c r="BP128"/>
  <c r="BR128" s="1"/>
  <c r="BL128"/>
  <c r="BK128"/>
  <c r="BI128"/>
  <c r="BH128"/>
  <c r="BG128"/>
  <c r="BF128"/>
  <c r="BA128"/>
  <c r="AZ128"/>
  <c r="BB128" s="1"/>
  <c r="AV128"/>
  <c r="AX128" s="1"/>
  <c r="AU128"/>
  <c r="AW128" s="1"/>
  <c r="AP128"/>
  <c r="Z128"/>
  <c r="W128"/>
  <c r="V128"/>
  <c r="Y128" s="1"/>
  <c r="AA128" s="1"/>
  <c r="AB128" s="1"/>
  <c r="BR127"/>
  <c r="BQ127"/>
  <c r="BP127"/>
  <c r="BL127"/>
  <c r="BK127"/>
  <c r="BV127" s="1"/>
  <c r="BG127"/>
  <c r="BF127"/>
  <c r="BH127" s="1"/>
  <c r="BI127" s="1"/>
  <c r="BA127"/>
  <c r="AZ127"/>
  <c r="BB127" s="1"/>
  <c r="AV127"/>
  <c r="AU127"/>
  <c r="AP127"/>
  <c r="AR127" s="1"/>
  <c r="AM127"/>
  <c r="W127"/>
  <c r="Z127" s="1"/>
  <c r="V127"/>
  <c r="Y127" s="1"/>
  <c r="BR126"/>
  <c r="BQ126"/>
  <c r="BS126" s="1"/>
  <c r="BP126"/>
  <c r="BL126"/>
  <c r="BK126"/>
  <c r="BM126" s="1"/>
  <c r="BN126" s="1"/>
  <c r="BG126"/>
  <c r="BI126" s="1"/>
  <c r="BF126"/>
  <c r="BH126" s="1"/>
  <c r="BA126"/>
  <c r="AZ126"/>
  <c r="AW126"/>
  <c r="AV126"/>
  <c r="AX126" s="1"/>
  <c r="AU126"/>
  <c r="AP126"/>
  <c r="W126"/>
  <c r="Z126" s="1"/>
  <c r="V126"/>
  <c r="Y126" s="1"/>
  <c r="AH126" s="1"/>
  <c r="BQ125"/>
  <c r="BP125"/>
  <c r="BR125" s="1"/>
  <c r="BL125"/>
  <c r="BK125"/>
  <c r="BG125"/>
  <c r="BF125"/>
  <c r="BA125"/>
  <c r="AZ125"/>
  <c r="BB125" s="1"/>
  <c r="AW125"/>
  <c r="AV125"/>
  <c r="AU125"/>
  <c r="AP125"/>
  <c r="AR125" s="1"/>
  <c r="Z125"/>
  <c r="W125"/>
  <c r="V125"/>
  <c r="Y125" s="1"/>
  <c r="AH125" s="1"/>
  <c r="AI125" s="1"/>
  <c r="BQ124"/>
  <c r="BP124"/>
  <c r="BR124" s="1"/>
  <c r="BL124"/>
  <c r="BK124"/>
  <c r="BH124"/>
  <c r="BG124"/>
  <c r="BI124" s="1"/>
  <c r="BF124"/>
  <c r="BA124"/>
  <c r="AZ124"/>
  <c r="BB124" s="1"/>
  <c r="AV124"/>
  <c r="AX124" s="1"/>
  <c r="AU124"/>
  <c r="AW124" s="1"/>
  <c r="AP124"/>
  <c r="AR124" s="1"/>
  <c r="W124"/>
  <c r="Z124" s="1"/>
  <c r="V124"/>
  <c r="Y124" s="1"/>
  <c r="BQ123"/>
  <c r="BP123"/>
  <c r="BL123"/>
  <c r="BK123"/>
  <c r="BV123" s="1"/>
  <c r="BW123" s="1"/>
  <c r="BG123"/>
  <c r="BF123"/>
  <c r="BH123" s="1"/>
  <c r="BI123" s="1"/>
  <c r="BA123"/>
  <c r="BC123" s="1"/>
  <c r="AZ123"/>
  <c r="BB123" s="1"/>
  <c r="AV123"/>
  <c r="AU123"/>
  <c r="AR123"/>
  <c r="AP123"/>
  <c r="W123"/>
  <c r="Z123" s="1"/>
  <c r="V123"/>
  <c r="BR122"/>
  <c r="BQ122"/>
  <c r="BP122"/>
  <c r="BL122"/>
  <c r="BK122"/>
  <c r="BV122" s="1"/>
  <c r="BW122" s="1"/>
  <c r="BG122"/>
  <c r="BI122" s="1"/>
  <c r="BF122"/>
  <c r="BH122" s="1"/>
  <c r="BB122"/>
  <c r="BA122"/>
  <c r="AZ122"/>
  <c r="AW122"/>
  <c r="AV122"/>
  <c r="AX122" s="1"/>
  <c r="AU122"/>
  <c r="AP122"/>
  <c r="AR122" s="1"/>
  <c r="W122"/>
  <c r="V122"/>
  <c r="Y122" s="1"/>
  <c r="AH122" s="1"/>
  <c r="BQ121"/>
  <c r="BP121"/>
  <c r="BR121" s="1"/>
  <c r="BS121" s="1"/>
  <c r="BL121"/>
  <c r="BK121"/>
  <c r="BH121"/>
  <c r="BG121"/>
  <c r="BI121" s="1"/>
  <c r="BF121"/>
  <c r="BA121"/>
  <c r="AZ121"/>
  <c r="BB121" s="1"/>
  <c r="AW121"/>
  <c r="AX121" s="1"/>
  <c r="AV121"/>
  <c r="AU121"/>
  <c r="AP121"/>
  <c r="AR121" s="1"/>
  <c r="Z121"/>
  <c r="W121"/>
  <c r="V121"/>
  <c r="Y121" s="1"/>
  <c r="AD120" s="1"/>
  <c r="BQ120"/>
  <c r="BS120" s="1"/>
  <c r="BP120"/>
  <c r="BR120" s="1"/>
  <c r="BL120"/>
  <c r="BK120"/>
  <c r="BM120" s="1"/>
  <c r="BH120"/>
  <c r="BG120"/>
  <c r="BI120" s="1"/>
  <c r="BF120"/>
  <c r="BA120"/>
  <c r="AZ120"/>
  <c r="BB120" s="1"/>
  <c r="BC120" s="1"/>
  <c r="AV120"/>
  <c r="AX120" s="1"/>
  <c r="AU120"/>
  <c r="AW120" s="1"/>
  <c r="AP120"/>
  <c r="AR120" s="1"/>
  <c r="W120"/>
  <c r="Z120" s="1"/>
  <c r="V120"/>
  <c r="Y120" s="1"/>
  <c r="AE120" s="1"/>
  <c r="BV119"/>
  <c r="BQ119"/>
  <c r="BP119"/>
  <c r="BM119"/>
  <c r="BL119"/>
  <c r="BK119"/>
  <c r="BH119"/>
  <c r="BG119"/>
  <c r="BF119"/>
  <c r="BA119"/>
  <c r="BC119" s="1"/>
  <c r="AZ119"/>
  <c r="BB119" s="1"/>
  <c r="AW119"/>
  <c r="AV119"/>
  <c r="AX119" s="1"/>
  <c r="AU119"/>
  <c r="AR119"/>
  <c r="AP119"/>
  <c r="W119"/>
  <c r="Z119" s="1"/>
  <c r="V119"/>
  <c r="Y119" s="1"/>
  <c r="BV118"/>
  <c r="BW118" s="1"/>
  <c r="BQ118"/>
  <c r="BP118"/>
  <c r="BR118" s="1"/>
  <c r="BM118"/>
  <c r="BN118" s="1"/>
  <c r="BL118"/>
  <c r="BK118"/>
  <c r="BG118"/>
  <c r="BI118" s="1"/>
  <c r="BF118"/>
  <c r="BH118" s="1"/>
  <c r="BA118"/>
  <c r="AZ118"/>
  <c r="BB118" s="1"/>
  <c r="AW118"/>
  <c r="AX118" s="1"/>
  <c r="AV118"/>
  <c r="AU118"/>
  <c r="AP118"/>
  <c r="AR118" s="1"/>
  <c r="Y118"/>
  <c r="W118"/>
  <c r="Z118" s="1"/>
  <c r="V118"/>
  <c r="BV117"/>
  <c r="BW117" s="1"/>
  <c r="BX117" s="1"/>
  <c r="BQ117"/>
  <c r="BP117"/>
  <c r="BR117" s="1"/>
  <c r="BM117"/>
  <c r="BN117" s="1"/>
  <c r="BL117"/>
  <c r="BK117"/>
  <c r="BI117"/>
  <c r="BG117"/>
  <c r="BF117"/>
  <c r="BH117" s="1"/>
  <c r="BA117"/>
  <c r="AZ117"/>
  <c r="BB117" s="1"/>
  <c r="AW117"/>
  <c r="AX117" s="1"/>
  <c r="AV117"/>
  <c r="AU117"/>
  <c r="AP117"/>
  <c r="AR117" s="1"/>
  <c r="W117"/>
  <c r="Z117" s="1"/>
  <c r="V117"/>
  <c r="Y117" s="1"/>
  <c r="BV116"/>
  <c r="BW116" s="1"/>
  <c r="BR116"/>
  <c r="BQ116"/>
  <c r="BP116"/>
  <c r="BM116"/>
  <c r="BN116" s="1"/>
  <c r="BL116"/>
  <c r="BK116"/>
  <c r="BG116"/>
  <c r="BI116" s="1"/>
  <c r="BF116"/>
  <c r="BH116" s="1"/>
  <c r="BB116"/>
  <c r="BA116"/>
  <c r="AZ116"/>
  <c r="AW116"/>
  <c r="AX116" s="1"/>
  <c r="AV116"/>
  <c r="AU116"/>
  <c r="AP116"/>
  <c r="AR116" s="1"/>
  <c r="Y116"/>
  <c r="W116"/>
  <c r="Z116" s="1"/>
  <c r="V116"/>
  <c r="BV115"/>
  <c r="BW115" s="1"/>
  <c r="BX115" s="1"/>
  <c r="BR115"/>
  <c r="BQ115"/>
  <c r="BP115"/>
  <c r="BM115"/>
  <c r="BN115" s="1"/>
  <c r="BL115"/>
  <c r="BK115"/>
  <c r="BI115"/>
  <c r="BG115"/>
  <c r="BF115"/>
  <c r="BH115" s="1"/>
  <c r="BB115"/>
  <c r="BA115"/>
  <c r="AZ115"/>
  <c r="AW115"/>
  <c r="AX115" s="1"/>
  <c r="AV115"/>
  <c r="AU115"/>
  <c r="AR115"/>
  <c r="AP115"/>
  <c r="W115"/>
  <c r="Z115" s="1"/>
  <c r="V115"/>
  <c r="Y115" s="1"/>
  <c r="BQ114"/>
  <c r="BP114"/>
  <c r="BR114" s="1"/>
  <c r="BL114"/>
  <c r="BK114"/>
  <c r="BV114" s="1"/>
  <c r="BW114" s="1"/>
  <c r="BG114"/>
  <c r="BI114" s="1"/>
  <c r="BF114"/>
  <c r="BH114" s="1"/>
  <c r="BA114"/>
  <c r="AZ114"/>
  <c r="BB114" s="1"/>
  <c r="AW114"/>
  <c r="AX114" s="1"/>
  <c r="AV114"/>
  <c r="AU114"/>
  <c r="AP114"/>
  <c r="AR114" s="1"/>
  <c r="Y114"/>
  <c r="W114"/>
  <c r="Z114" s="1"/>
  <c r="V114"/>
  <c r="BR113"/>
  <c r="BQ113"/>
  <c r="BP113"/>
  <c r="BL113"/>
  <c r="BK113"/>
  <c r="BV113" s="1"/>
  <c r="BW113" s="1"/>
  <c r="BI113"/>
  <c r="BG113"/>
  <c r="BF113"/>
  <c r="BH113" s="1"/>
  <c r="BB113"/>
  <c r="BA113"/>
  <c r="AZ113"/>
  <c r="AW113"/>
  <c r="AV113"/>
  <c r="AU113"/>
  <c r="AP113"/>
  <c r="AR113" s="1"/>
  <c r="W113"/>
  <c r="Z113" s="1"/>
  <c r="V113"/>
  <c r="Y113" s="1"/>
  <c r="BR112"/>
  <c r="BS112" s="1"/>
  <c r="BQ112"/>
  <c r="BP112"/>
  <c r="BL112"/>
  <c r="BK112"/>
  <c r="BV112" s="1"/>
  <c r="BW112" s="1"/>
  <c r="BI112"/>
  <c r="BG112"/>
  <c r="BF112"/>
  <c r="BH112" s="1"/>
  <c r="BB112"/>
  <c r="BA112"/>
  <c r="AZ112"/>
  <c r="AW112"/>
  <c r="AV112"/>
  <c r="AU112"/>
  <c r="AP112"/>
  <c r="AR112" s="1"/>
  <c r="Y112"/>
  <c r="W112"/>
  <c r="Z112" s="1"/>
  <c r="V112"/>
  <c r="BQ111"/>
  <c r="BP111"/>
  <c r="BR111" s="1"/>
  <c r="BL111"/>
  <c r="BK111"/>
  <c r="BV111" s="1"/>
  <c r="BW111" s="1"/>
  <c r="BG111"/>
  <c r="BI111" s="1"/>
  <c r="BJ111" s="1"/>
  <c r="BF111"/>
  <c r="BH111" s="1"/>
  <c r="BA111"/>
  <c r="AZ111"/>
  <c r="BB111" s="1"/>
  <c r="AW111"/>
  <c r="AV111"/>
  <c r="AU111"/>
  <c r="AP111"/>
  <c r="AR111" s="1"/>
  <c r="AI111"/>
  <c r="Y111"/>
  <c r="AH111" s="1"/>
  <c r="W111"/>
  <c r="Z111" s="1"/>
  <c r="V111"/>
  <c r="BV110"/>
  <c r="BW110" s="1"/>
  <c r="BQ110"/>
  <c r="BP110"/>
  <c r="BR110" s="1"/>
  <c r="BM110"/>
  <c r="BN110" s="1"/>
  <c r="BL110"/>
  <c r="BK110"/>
  <c r="BG110"/>
  <c r="BI110" s="1"/>
  <c r="BF110"/>
  <c r="BH110" s="1"/>
  <c r="BA110"/>
  <c r="AZ110"/>
  <c r="BB110" s="1"/>
  <c r="AX110"/>
  <c r="AV110"/>
  <c r="AU110"/>
  <c r="AW110" s="1"/>
  <c r="AP110"/>
  <c r="AR110" s="1"/>
  <c r="Y110"/>
  <c r="W110"/>
  <c r="Z110" s="1"/>
  <c r="V110"/>
  <c r="BS109"/>
  <c r="BQ109"/>
  <c r="BP109"/>
  <c r="BR109" s="1"/>
  <c r="BL109"/>
  <c r="BK109"/>
  <c r="BH109"/>
  <c r="BG109"/>
  <c r="BI109" s="1"/>
  <c r="BF109"/>
  <c r="BB109"/>
  <c r="BC109" s="1"/>
  <c r="BA109"/>
  <c r="AZ109"/>
  <c r="AV109"/>
  <c r="AX109" s="1"/>
  <c r="AU109"/>
  <c r="AW109" s="1"/>
  <c r="AP109"/>
  <c r="AR109" s="1"/>
  <c r="Y109"/>
  <c r="W109"/>
  <c r="Z109" s="1"/>
  <c r="V109"/>
  <c r="BQ108"/>
  <c r="BP108"/>
  <c r="BR108" s="1"/>
  <c r="BL108"/>
  <c r="BK108"/>
  <c r="BH108"/>
  <c r="BG108"/>
  <c r="BI108" s="1"/>
  <c r="BF108"/>
  <c r="BB108"/>
  <c r="BC108" s="1"/>
  <c r="BA108"/>
  <c r="AZ108"/>
  <c r="AV108"/>
  <c r="AU108"/>
  <c r="AW108" s="1"/>
  <c r="AX108" s="1"/>
  <c r="AP108"/>
  <c r="AR108" s="1"/>
  <c r="Z108"/>
  <c r="W108"/>
  <c r="V108"/>
  <c r="Y108" s="1"/>
  <c r="BQ107"/>
  <c r="BP107"/>
  <c r="BR107" s="1"/>
  <c r="BL107"/>
  <c r="BK107"/>
  <c r="BH107"/>
  <c r="BG107"/>
  <c r="BI107" s="1"/>
  <c r="BF107"/>
  <c r="BB107"/>
  <c r="BC107" s="1"/>
  <c r="BA107"/>
  <c r="AZ107"/>
  <c r="AV107"/>
  <c r="AU107"/>
  <c r="AW107" s="1"/>
  <c r="AX107" s="1"/>
  <c r="AP107"/>
  <c r="AR107" s="1"/>
  <c r="Y107"/>
  <c r="W107"/>
  <c r="Z107" s="1"/>
  <c r="V107"/>
  <c r="BQ106"/>
  <c r="BP106"/>
  <c r="BR106" s="1"/>
  <c r="BL106"/>
  <c r="BK106"/>
  <c r="BH106"/>
  <c r="BG106"/>
  <c r="BI106" s="1"/>
  <c r="BF106"/>
  <c r="BA106"/>
  <c r="AZ106"/>
  <c r="BB106" s="1"/>
  <c r="AX106"/>
  <c r="AV106"/>
  <c r="AU106"/>
  <c r="AW106" s="1"/>
  <c r="AP106"/>
  <c r="AR106" s="1"/>
  <c r="Y106"/>
  <c r="W106"/>
  <c r="Z106" s="1"/>
  <c r="V106"/>
  <c r="BS105"/>
  <c r="BQ105"/>
  <c r="BP105"/>
  <c r="BR105" s="1"/>
  <c r="BL105"/>
  <c r="BK105"/>
  <c r="BH105"/>
  <c r="BG105"/>
  <c r="BI105" s="1"/>
  <c r="BF105"/>
  <c r="BB105"/>
  <c r="BC105" s="1"/>
  <c r="BA105"/>
  <c r="AZ105"/>
  <c r="AV105"/>
  <c r="AX105" s="1"/>
  <c r="AU105"/>
  <c r="AW105" s="1"/>
  <c r="AP105"/>
  <c r="AR105" s="1"/>
  <c r="Y105"/>
  <c r="W105"/>
  <c r="Z105" s="1"/>
  <c r="V105"/>
  <c r="BQ104"/>
  <c r="BP104"/>
  <c r="BR104" s="1"/>
  <c r="BL104"/>
  <c r="BK104"/>
  <c r="BH104"/>
  <c r="BG104"/>
  <c r="BI104" s="1"/>
  <c r="BF104"/>
  <c r="BB104"/>
  <c r="BA104"/>
  <c r="AZ104"/>
  <c r="AV104"/>
  <c r="AU104"/>
  <c r="AW104" s="1"/>
  <c r="AX104" s="1"/>
  <c r="AP104"/>
  <c r="AR104" s="1"/>
  <c r="Z104"/>
  <c r="W104"/>
  <c r="V104"/>
  <c r="Y104" s="1"/>
  <c r="BQ103"/>
  <c r="BP103"/>
  <c r="BR103" s="1"/>
  <c r="BL103"/>
  <c r="BK103"/>
  <c r="BH103"/>
  <c r="BG103"/>
  <c r="BI103" s="1"/>
  <c r="BF103"/>
  <c r="BB103"/>
  <c r="BA103"/>
  <c r="AZ103"/>
  <c r="AV103"/>
  <c r="AU103"/>
  <c r="AW103" s="1"/>
  <c r="AX103" s="1"/>
  <c r="AP103"/>
  <c r="AR103" s="1"/>
  <c r="Y103"/>
  <c r="W103"/>
  <c r="Z103" s="1"/>
  <c r="V103"/>
  <c r="BS102"/>
  <c r="BQ102"/>
  <c r="BP102"/>
  <c r="BR102" s="1"/>
  <c r="BL102"/>
  <c r="BK102"/>
  <c r="BH102"/>
  <c r="BG102"/>
  <c r="BI102" s="1"/>
  <c r="BF102"/>
  <c r="BB102"/>
  <c r="BC102" s="1"/>
  <c r="BA102"/>
  <c r="AZ102"/>
  <c r="AX102"/>
  <c r="AV102"/>
  <c r="AU102"/>
  <c r="AW102" s="1"/>
  <c r="AP102"/>
  <c r="AR102" s="1"/>
  <c r="Y102"/>
  <c r="W102"/>
  <c r="Z102" s="1"/>
  <c r="V102"/>
  <c r="BQ101"/>
  <c r="BP101"/>
  <c r="BR101" s="1"/>
  <c r="BL101"/>
  <c r="BK101"/>
  <c r="BH101"/>
  <c r="BG101"/>
  <c r="BI101" s="1"/>
  <c r="BF101"/>
  <c r="BA101"/>
  <c r="AZ101"/>
  <c r="AV101"/>
  <c r="AX101" s="1"/>
  <c r="AU101"/>
  <c r="AW101" s="1"/>
  <c r="AP101"/>
  <c r="AR101" s="1"/>
  <c r="Y101"/>
  <c r="W101"/>
  <c r="Z101" s="1"/>
  <c r="V101"/>
  <c r="BQ100"/>
  <c r="BP100"/>
  <c r="BR100" s="1"/>
  <c r="BL100"/>
  <c r="BK100"/>
  <c r="BH100"/>
  <c r="BG100"/>
  <c r="BI100" s="1"/>
  <c r="BF100"/>
  <c r="BA100"/>
  <c r="AZ100"/>
  <c r="AV100"/>
  <c r="AU100"/>
  <c r="AW100" s="1"/>
  <c r="AX100" s="1"/>
  <c r="AP100"/>
  <c r="AR100" s="1"/>
  <c r="Z100"/>
  <c r="W100"/>
  <c r="V100"/>
  <c r="Y100" s="1"/>
  <c r="BQ99"/>
  <c r="BP99"/>
  <c r="BR99" s="1"/>
  <c r="BL99"/>
  <c r="BK99"/>
  <c r="BH99"/>
  <c r="BG99"/>
  <c r="BI99" s="1"/>
  <c r="BF99"/>
  <c r="BA99"/>
  <c r="AZ99"/>
  <c r="BB99" s="1"/>
  <c r="BC99" s="1"/>
  <c r="AV99"/>
  <c r="AU99"/>
  <c r="AW99" s="1"/>
  <c r="AX99" s="1"/>
  <c r="AP99"/>
  <c r="AR99" s="1"/>
  <c r="Y99"/>
  <c r="W99"/>
  <c r="Z99" s="1"/>
  <c r="V99"/>
  <c r="BQ98"/>
  <c r="BS98" s="1"/>
  <c r="BP98"/>
  <c r="BR98" s="1"/>
  <c r="BL98"/>
  <c r="BK98"/>
  <c r="BH98"/>
  <c r="BG98"/>
  <c r="BI98" s="1"/>
  <c r="BF98"/>
  <c r="BB98"/>
  <c r="BA98"/>
  <c r="AZ98"/>
  <c r="AX98"/>
  <c r="AV98"/>
  <c r="AU98"/>
  <c r="AW98" s="1"/>
  <c r="AP98"/>
  <c r="AR98" s="1"/>
  <c r="Y98"/>
  <c r="W98"/>
  <c r="Z98" s="1"/>
  <c r="V98"/>
  <c r="BQ97"/>
  <c r="BP97"/>
  <c r="BR97" s="1"/>
  <c r="BS97" s="1"/>
  <c r="BL97"/>
  <c r="BK97"/>
  <c r="BH97"/>
  <c r="BG97"/>
  <c r="BI97" s="1"/>
  <c r="BF97"/>
  <c r="BA97"/>
  <c r="AZ97"/>
  <c r="BB97" s="1"/>
  <c r="BC97" s="1"/>
  <c r="AV97"/>
  <c r="AX97" s="1"/>
  <c r="AU97"/>
  <c r="AW97" s="1"/>
  <c r="AP97"/>
  <c r="AR97" s="1"/>
  <c r="Y97"/>
  <c r="W97"/>
  <c r="Z97" s="1"/>
  <c r="V97"/>
  <c r="BQ96"/>
  <c r="BP96"/>
  <c r="BR96" s="1"/>
  <c r="BS96" s="1"/>
  <c r="BL96"/>
  <c r="BK96"/>
  <c r="BH96"/>
  <c r="BG96"/>
  <c r="BI96" s="1"/>
  <c r="BF96"/>
  <c r="BA96"/>
  <c r="AZ96"/>
  <c r="BB96" s="1"/>
  <c r="AV96"/>
  <c r="AU96"/>
  <c r="AW96" s="1"/>
  <c r="AX96" s="1"/>
  <c r="AP96"/>
  <c r="AR96" s="1"/>
  <c r="Z96"/>
  <c r="W96"/>
  <c r="V96"/>
  <c r="Y96" s="1"/>
  <c r="BQ95"/>
  <c r="BP95"/>
  <c r="BR95" s="1"/>
  <c r="BS95" s="1"/>
  <c r="BL95"/>
  <c r="BK95"/>
  <c r="BH95"/>
  <c r="BG95"/>
  <c r="BI95" s="1"/>
  <c r="BF95"/>
  <c r="BA95"/>
  <c r="AZ95"/>
  <c r="BB95" s="1"/>
  <c r="AV95"/>
  <c r="AU95"/>
  <c r="AW95" s="1"/>
  <c r="AX95" s="1"/>
  <c r="AP95"/>
  <c r="AR95" s="1"/>
  <c r="Y95"/>
  <c r="W95"/>
  <c r="Z95" s="1"/>
  <c r="V95"/>
  <c r="BQ94"/>
  <c r="BP94"/>
  <c r="BR94" s="1"/>
  <c r="BL94"/>
  <c r="BK94"/>
  <c r="BH94"/>
  <c r="BG94"/>
  <c r="BI94" s="1"/>
  <c r="BF94"/>
  <c r="BA94"/>
  <c r="AZ94"/>
  <c r="BB94" s="1"/>
  <c r="BC94" s="1"/>
  <c r="AX94"/>
  <c r="AV94"/>
  <c r="AU94"/>
  <c r="AW94" s="1"/>
  <c r="AP94"/>
  <c r="AR94" s="1"/>
  <c r="Y94"/>
  <c r="W94"/>
  <c r="Z94" s="1"/>
  <c r="V94"/>
  <c r="BS93"/>
  <c r="BQ93"/>
  <c r="BP93"/>
  <c r="BR93" s="1"/>
  <c r="BL93"/>
  <c r="BK93"/>
  <c r="BH93"/>
  <c r="BG93"/>
  <c r="BI93" s="1"/>
  <c r="BF93"/>
  <c r="BB93"/>
  <c r="BC93" s="1"/>
  <c r="BA93"/>
  <c r="AZ93"/>
  <c r="AV93"/>
  <c r="AX93" s="1"/>
  <c r="AU93"/>
  <c r="AW93" s="1"/>
  <c r="AP93"/>
  <c r="AR93" s="1"/>
  <c r="Y93"/>
  <c r="W93"/>
  <c r="Z93" s="1"/>
  <c r="V93"/>
  <c r="BQ92"/>
  <c r="BP92"/>
  <c r="BR92" s="1"/>
  <c r="BL92"/>
  <c r="BK92"/>
  <c r="BH92"/>
  <c r="BG92"/>
  <c r="BI92" s="1"/>
  <c r="BF92"/>
  <c r="BB92"/>
  <c r="BC92" s="1"/>
  <c r="BA92"/>
  <c r="AZ92"/>
  <c r="AV92"/>
  <c r="AU92"/>
  <c r="AW92" s="1"/>
  <c r="AX92" s="1"/>
  <c r="AP92"/>
  <c r="AR92" s="1"/>
  <c r="Z92"/>
  <c r="W92"/>
  <c r="V92"/>
  <c r="Y92" s="1"/>
  <c r="BQ91"/>
  <c r="BP91"/>
  <c r="BR91" s="1"/>
  <c r="BL91"/>
  <c r="BK91"/>
  <c r="BH91"/>
  <c r="BG91"/>
  <c r="BI91" s="1"/>
  <c r="BF91"/>
  <c r="BB91"/>
  <c r="BC91" s="1"/>
  <c r="BA91"/>
  <c r="AZ91"/>
  <c r="AV91"/>
  <c r="AU91"/>
  <c r="AW91" s="1"/>
  <c r="AX91" s="1"/>
  <c r="AP91"/>
  <c r="AR91" s="1"/>
  <c r="Y91"/>
  <c r="W91"/>
  <c r="Z91" s="1"/>
  <c r="V91"/>
  <c r="BS90"/>
  <c r="BQ90"/>
  <c r="BP90"/>
  <c r="BR90" s="1"/>
  <c r="BL90"/>
  <c r="BK90"/>
  <c r="BH90"/>
  <c r="BG90"/>
  <c r="BI90" s="1"/>
  <c r="BF90"/>
  <c r="BB90"/>
  <c r="BC90" s="1"/>
  <c r="BA90"/>
  <c r="AZ90"/>
  <c r="AX90"/>
  <c r="AV90"/>
  <c r="AU90"/>
  <c r="AW90" s="1"/>
  <c r="AP90"/>
  <c r="AR90" s="1"/>
  <c r="Y90"/>
  <c r="W90"/>
  <c r="Z90" s="1"/>
  <c r="V90"/>
  <c r="BQ89"/>
  <c r="BS89" s="1"/>
  <c r="BP89"/>
  <c r="BR89" s="1"/>
  <c r="BL89"/>
  <c r="BK89"/>
  <c r="BH89"/>
  <c r="BG89"/>
  <c r="BI89" s="1"/>
  <c r="BF89"/>
  <c r="BB89"/>
  <c r="BA89"/>
  <c r="AZ89"/>
  <c r="AV89"/>
  <c r="AX89" s="1"/>
  <c r="AU89"/>
  <c r="AW89" s="1"/>
  <c r="AP89"/>
  <c r="AR89" s="1"/>
  <c r="Y89"/>
  <c r="W89"/>
  <c r="Z89" s="1"/>
  <c r="V89"/>
  <c r="BQ88"/>
  <c r="BP88"/>
  <c r="BR88" s="1"/>
  <c r="BL88"/>
  <c r="BK88"/>
  <c r="BH88"/>
  <c r="BG88"/>
  <c r="BI88" s="1"/>
  <c r="BF88"/>
  <c r="BB88"/>
  <c r="BA88"/>
  <c r="AZ88"/>
  <c r="AV88"/>
  <c r="AU88"/>
  <c r="AW88" s="1"/>
  <c r="AX88" s="1"/>
  <c r="AP88"/>
  <c r="AR88" s="1"/>
  <c r="Z88"/>
  <c r="W88"/>
  <c r="V88"/>
  <c r="Y88" s="1"/>
  <c r="BQ87"/>
  <c r="BP87"/>
  <c r="BR87" s="1"/>
  <c r="BL87"/>
  <c r="BK87"/>
  <c r="BH87"/>
  <c r="BG87"/>
  <c r="BI87" s="1"/>
  <c r="BF87"/>
  <c r="BB87"/>
  <c r="BA87"/>
  <c r="AZ87"/>
  <c r="AV87"/>
  <c r="AU87"/>
  <c r="AW87" s="1"/>
  <c r="AX87" s="1"/>
  <c r="AP87"/>
  <c r="AR87" s="1"/>
  <c r="Y87"/>
  <c r="W87"/>
  <c r="Z87" s="1"/>
  <c r="V87"/>
  <c r="BS86"/>
  <c r="BQ86"/>
  <c r="BP86"/>
  <c r="BR86" s="1"/>
  <c r="BL86"/>
  <c r="BK86"/>
  <c r="BH86"/>
  <c r="BG86"/>
  <c r="BI86" s="1"/>
  <c r="BF86"/>
  <c r="BB86"/>
  <c r="BC86" s="1"/>
  <c r="BA86"/>
  <c r="AZ86"/>
  <c r="AX86"/>
  <c r="AV86"/>
  <c r="AU86"/>
  <c r="AW86" s="1"/>
  <c r="AP86"/>
  <c r="AR86" s="1"/>
  <c r="Y86"/>
  <c r="W86"/>
  <c r="Z86" s="1"/>
  <c r="V86"/>
  <c r="BQ85"/>
  <c r="BP85"/>
  <c r="BL85"/>
  <c r="BK85"/>
  <c r="BH85"/>
  <c r="BG85"/>
  <c r="BI85" s="1"/>
  <c r="BF85"/>
  <c r="BB85"/>
  <c r="BC85" s="1"/>
  <c r="BA85"/>
  <c r="AZ85"/>
  <c r="AV85"/>
  <c r="AU85"/>
  <c r="AP85"/>
  <c r="Y85"/>
  <c r="AE85" s="1"/>
  <c r="AF85" s="1"/>
  <c r="W85"/>
  <c r="Z85" s="1"/>
  <c r="V85"/>
  <c r="BR84"/>
  <c r="BQ84"/>
  <c r="BP84"/>
  <c r="BL84"/>
  <c r="BK84"/>
  <c r="BG84"/>
  <c r="BF84"/>
  <c r="BB84"/>
  <c r="BA84"/>
  <c r="BC84" s="1"/>
  <c r="AZ84"/>
  <c r="BD84" s="1"/>
  <c r="AW84"/>
  <c r="AX84" s="1"/>
  <c r="AV84"/>
  <c r="AU84"/>
  <c r="AP84"/>
  <c r="W84"/>
  <c r="Z84" s="1"/>
  <c r="V84"/>
  <c r="Y84" s="1"/>
  <c r="AA84" s="1"/>
  <c r="BV83"/>
  <c r="BR83"/>
  <c r="BQ83"/>
  <c r="BP83"/>
  <c r="BM83"/>
  <c r="BL83"/>
  <c r="BK83"/>
  <c r="BG83"/>
  <c r="BF83"/>
  <c r="BA83"/>
  <c r="AZ83"/>
  <c r="AW83"/>
  <c r="AV83"/>
  <c r="AX83" s="1"/>
  <c r="AU83"/>
  <c r="AP83"/>
  <c r="AR83" s="1"/>
  <c r="W83"/>
  <c r="Z83" s="1"/>
  <c r="V83"/>
  <c r="Y83" s="1"/>
  <c r="AE83" s="1"/>
  <c r="BV82"/>
  <c r="BQ82"/>
  <c r="BP82"/>
  <c r="BM82"/>
  <c r="BL82"/>
  <c r="BK82"/>
  <c r="BH82"/>
  <c r="BG82"/>
  <c r="BF82"/>
  <c r="BA82"/>
  <c r="AZ82"/>
  <c r="AV82"/>
  <c r="AU82"/>
  <c r="AP82"/>
  <c r="AR82" s="1"/>
  <c r="W82"/>
  <c r="Z82" s="1"/>
  <c r="V82"/>
  <c r="Y82" s="1"/>
  <c r="AH82" s="1"/>
  <c r="BQ81"/>
  <c r="BP81"/>
  <c r="BL81"/>
  <c r="BK81"/>
  <c r="BH81"/>
  <c r="BG81"/>
  <c r="BI81" s="1"/>
  <c r="BF81"/>
  <c r="BB81"/>
  <c r="BA81"/>
  <c r="AZ81"/>
  <c r="AV81"/>
  <c r="AU81"/>
  <c r="AP81"/>
  <c r="Y81"/>
  <c r="AE81" s="1"/>
  <c r="W81"/>
  <c r="Z81" s="1"/>
  <c r="V81"/>
  <c r="BR80"/>
  <c r="BQ80"/>
  <c r="BP80"/>
  <c r="BL80"/>
  <c r="BK80"/>
  <c r="BG80"/>
  <c r="BF80"/>
  <c r="BB80"/>
  <c r="BA80"/>
  <c r="BC80" s="1"/>
  <c r="AZ80"/>
  <c r="AW80"/>
  <c r="AV80"/>
  <c r="AU80"/>
  <c r="AP80"/>
  <c r="W80"/>
  <c r="Z80" s="1"/>
  <c r="V80"/>
  <c r="Y80" s="1"/>
  <c r="BV79"/>
  <c r="BW79" s="1"/>
  <c r="BR79"/>
  <c r="BQ79"/>
  <c r="BP79"/>
  <c r="BM79"/>
  <c r="BN79" s="1"/>
  <c r="BL79"/>
  <c r="BK79"/>
  <c r="BG79"/>
  <c r="BF79"/>
  <c r="BA79"/>
  <c r="AZ79"/>
  <c r="AW79"/>
  <c r="AV79"/>
  <c r="AX79" s="1"/>
  <c r="AU79"/>
  <c r="AP79"/>
  <c r="AR79" s="1"/>
  <c r="Z79"/>
  <c r="W79"/>
  <c r="V79"/>
  <c r="Y79" s="1"/>
  <c r="BV78"/>
  <c r="BQ78"/>
  <c r="BP78"/>
  <c r="BM78"/>
  <c r="BL78"/>
  <c r="BK78"/>
  <c r="BH78"/>
  <c r="BI78" s="1"/>
  <c r="BG78"/>
  <c r="BF78"/>
  <c r="BA78"/>
  <c r="AZ78"/>
  <c r="AV78"/>
  <c r="AU78"/>
  <c r="AR78"/>
  <c r="AP78"/>
  <c r="Y78"/>
  <c r="W78"/>
  <c r="Z78" s="1"/>
  <c r="V78"/>
  <c r="BQ77"/>
  <c r="BP77"/>
  <c r="BL77"/>
  <c r="BK77"/>
  <c r="BH77"/>
  <c r="BG77"/>
  <c r="BI77" s="1"/>
  <c r="BF77"/>
  <c r="BB77"/>
  <c r="BA77"/>
  <c r="AZ77"/>
  <c r="AV77"/>
  <c r="AU77"/>
  <c r="AP77"/>
  <c r="Y77"/>
  <c r="AE77" s="1"/>
  <c r="AF77" s="1"/>
  <c r="W77"/>
  <c r="Z77" s="1"/>
  <c r="V77"/>
  <c r="BR76"/>
  <c r="BQ76"/>
  <c r="BP76"/>
  <c r="BL76"/>
  <c r="BK76"/>
  <c r="BG76"/>
  <c r="BF76"/>
  <c r="BB76"/>
  <c r="BA76"/>
  <c r="BC76" s="1"/>
  <c r="AZ76"/>
  <c r="AW76"/>
  <c r="AV76"/>
  <c r="AU76"/>
  <c r="AP76"/>
  <c r="W76"/>
  <c r="Z76" s="1"/>
  <c r="V76"/>
  <c r="Y76" s="1"/>
  <c r="AA76" s="1"/>
  <c r="BV75"/>
  <c r="BW75" s="1"/>
  <c r="BR75"/>
  <c r="BS75" s="1"/>
  <c r="BQ75"/>
  <c r="BP75"/>
  <c r="BM75"/>
  <c r="BN75" s="1"/>
  <c r="BL75"/>
  <c r="BK75"/>
  <c r="BG75"/>
  <c r="BF75"/>
  <c r="BA75"/>
  <c r="AZ75"/>
  <c r="BB75" s="1"/>
  <c r="AW75"/>
  <c r="AV75"/>
  <c r="AX75" s="1"/>
  <c r="AU75"/>
  <c r="AP75"/>
  <c r="AR75" s="1"/>
  <c r="Z75"/>
  <c r="W75"/>
  <c r="V75"/>
  <c r="Y75" s="1"/>
  <c r="AA75" s="1"/>
  <c r="BV74"/>
  <c r="BQ74"/>
  <c r="BP74"/>
  <c r="BR74" s="1"/>
  <c r="BM74"/>
  <c r="BL74"/>
  <c r="BK74"/>
  <c r="BH74"/>
  <c r="BG74"/>
  <c r="BF74"/>
  <c r="BA74"/>
  <c r="AZ74"/>
  <c r="AV74"/>
  <c r="AX74" s="1"/>
  <c r="AU74"/>
  <c r="AW74" s="1"/>
  <c r="AP74"/>
  <c r="AR74" s="1"/>
  <c r="Z74"/>
  <c r="Y74"/>
  <c r="AE74" s="1"/>
  <c r="W74"/>
  <c r="V74"/>
  <c r="BQ73"/>
  <c r="BP73"/>
  <c r="BL73"/>
  <c r="BK73"/>
  <c r="BH73"/>
  <c r="BG73"/>
  <c r="BI73" s="1"/>
  <c r="BF73"/>
  <c r="BB73"/>
  <c r="BA73"/>
  <c r="BC73" s="1"/>
  <c r="AZ73"/>
  <c r="AV73"/>
  <c r="AU73"/>
  <c r="AP73"/>
  <c r="AR73" s="1"/>
  <c r="W73"/>
  <c r="Z73" s="1"/>
  <c r="V73"/>
  <c r="Y73" s="1"/>
  <c r="BR72"/>
  <c r="BQ72"/>
  <c r="BP72"/>
  <c r="BL72"/>
  <c r="BK72"/>
  <c r="BG72"/>
  <c r="BF72"/>
  <c r="BH72" s="1"/>
  <c r="BB72"/>
  <c r="BA72"/>
  <c r="AZ72"/>
  <c r="AX72"/>
  <c r="AW72"/>
  <c r="AV72"/>
  <c r="AU72"/>
  <c r="AP72"/>
  <c r="W72"/>
  <c r="Z72" s="1"/>
  <c r="V72"/>
  <c r="Y72" s="1"/>
  <c r="AA72" s="1"/>
  <c r="BV71"/>
  <c r="BW71" s="1"/>
  <c r="BR71"/>
  <c r="BQ71"/>
  <c r="BP71"/>
  <c r="BN71"/>
  <c r="BM71"/>
  <c r="BL71"/>
  <c r="BK71"/>
  <c r="BG71"/>
  <c r="BF71"/>
  <c r="BA71"/>
  <c r="BC71" s="1"/>
  <c r="AZ71"/>
  <c r="BB71" s="1"/>
  <c r="AW71"/>
  <c r="AV71"/>
  <c r="AX71" s="1"/>
  <c r="AU71"/>
  <c r="AP71"/>
  <c r="AR71" s="1"/>
  <c r="Z71"/>
  <c r="W71"/>
  <c r="V71"/>
  <c r="Y71" s="1"/>
  <c r="BV70"/>
  <c r="BQ70"/>
  <c r="BP70"/>
  <c r="BR70" s="1"/>
  <c r="BM70"/>
  <c r="BL70"/>
  <c r="BK70"/>
  <c r="BH70"/>
  <c r="BG70"/>
  <c r="BI70" s="1"/>
  <c r="BF70"/>
  <c r="BA70"/>
  <c r="AZ70"/>
  <c r="AV70"/>
  <c r="AU70"/>
  <c r="AW70" s="1"/>
  <c r="AP70"/>
  <c r="AR70" s="1"/>
  <c r="W70"/>
  <c r="Z70" s="1"/>
  <c r="V70"/>
  <c r="Y70" s="1"/>
  <c r="BQ69"/>
  <c r="BP69"/>
  <c r="BL69"/>
  <c r="BK69"/>
  <c r="BH69"/>
  <c r="BG69"/>
  <c r="BF69"/>
  <c r="BB69"/>
  <c r="BA69"/>
  <c r="AZ69"/>
  <c r="AV69"/>
  <c r="AU69"/>
  <c r="AP69"/>
  <c r="AR69" s="1"/>
  <c r="Y69"/>
  <c r="W69"/>
  <c r="Z69" s="1"/>
  <c r="V69"/>
  <c r="BR68"/>
  <c r="BQ68"/>
  <c r="BS68" s="1"/>
  <c r="BP68"/>
  <c r="BL68"/>
  <c r="BK68"/>
  <c r="BG68"/>
  <c r="BI68" s="1"/>
  <c r="BF68"/>
  <c r="BH68" s="1"/>
  <c r="BB68"/>
  <c r="BA68"/>
  <c r="BC68" s="1"/>
  <c r="AZ68"/>
  <c r="AW68"/>
  <c r="AV68"/>
  <c r="AU68"/>
  <c r="AP68"/>
  <c r="AB68"/>
  <c r="AA68"/>
  <c r="W68"/>
  <c r="Z68" s="1"/>
  <c r="V68"/>
  <c r="Y68" s="1"/>
  <c r="BW67"/>
  <c r="BV67"/>
  <c r="BR67"/>
  <c r="BQ67"/>
  <c r="BP67"/>
  <c r="BM67"/>
  <c r="BN67" s="1"/>
  <c r="BL67"/>
  <c r="BK67"/>
  <c r="BG67"/>
  <c r="BF67"/>
  <c r="BA67"/>
  <c r="AZ67"/>
  <c r="BB67" s="1"/>
  <c r="AW67"/>
  <c r="AV67"/>
  <c r="AU67"/>
  <c r="AR67"/>
  <c r="AP67"/>
  <c r="W67"/>
  <c r="Z67" s="1"/>
  <c r="AB67" s="1"/>
  <c r="V67"/>
  <c r="Y67" s="1"/>
  <c r="AA67" s="1"/>
  <c r="BV66"/>
  <c r="BQ66"/>
  <c r="BP66"/>
  <c r="BR66" s="1"/>
  <c r="BS66" s="1"/>
  <c r="BM66"/>
  <c r="BN66" s="1"/>
  <c r="BL66"/>
  <c r="BK66"/>
  <c r="BH66"/>
  <c r="BG66"/>
  <c r="BF66"/>
  <c r="BA66"/>
  <c r="AZ66"/>
  <c r="AV66"/>
  <c r="AX66" s="1"/>
  <c r="AU66"/>
  <c r="AW66" s="1"/>
  <c r="AP66"/>
  <c r="AR66" s="1"/>
  <c r="Y66"/>
  <c r="AE66" s="1"/>
  <c r="W66"/>
  <c r="Z66" s="1"/>
  <c r="V66"/>
  <c r="BQ65"/>
  <c r="BP65"/>
  <c r="BL65"/>
  <c r="BK65"/>
  <c r="BH65"/>
  <c r="BG65"/>
  <c r="BI65" s="1"/>
  <c r="BF65"/>
  <c r="BB65"/>
  <c r="BA65"/>
  <c r="BC65" s="1"/>
  <c r="AZ65"/>
  <c r="AV65"/>
  <c r="AU65"/>
  <c r="AP65"/>
  <c r="AR65" s="1"/>
  <c r="W65"/>
  <c r="Z65" s="1"/>
  <c r="V65"/>
  <c r="Y65" s="1"/>
  <c r="BR64"/>
  <c r="BQ64"/>
  <c r="BP64"/>
  <c r="BL64"/>
  <c r="BK64"/>
  <c r="BG64"/>
  <c r="BF64"/>
  <c r="BH64" s="1"/>
  <c r="BB64"/>
  <c r="BA64"/>
  <c r="AZ64"/>
  <c r="AW64"/>
  <c r="AV64"/>
  <c r="AX64" s="1"/>
  <c r="AU64"/>
  <c r="AP64"/>
  <c r="W64"/>
  <c r="Z64" s="1"/>
  <c r="AB64" s="1"/>
  <c r="V64"/>
  <c r="Y64" s="1"/>
  <c r="AA64" s="1"/>
  <c r="BV63"/>
  <c r="BR63"/>
  <c r="BS63" s="1"/>
  <c r="BQ63"/>
  <c r="BP63"/>
  <c r="BM63"/>
  <c r="BL63"/>
  <c r="BN63" s="1"/>
  <c r="BK63"/>
  <c r="BG63"/>
  <c r="BF63"/>
  <c r="BA63"/>
  <c r="BC63" s="1"/>
  <c r="AZ63"/>
  <c r="BB63" s="1"/>
  <c r="AW63"/>
  <c r="AV63"/>
  <c r="AX63" s="1"/>
  <c r="AU63"/>
  <c r="AP63"/>
  <c r="AR63" s="1"/>
  <c r="Z63"/>
  <c r="W63"/>
  <c r="V63"/>
  <c r="Y63" s="1"/>
  <c r="BV62"/>
  <c r="BQ62"/>
  <c r="BP62"/>
  <c r="BR62" s="1"/>
  <c r="BM62"/>
  <c r="BL62"/>
  <c r="BK62"/>
  <c r="BI62"/>
  <c r="BH62"/>
  <c r="BG62"/>
  <c r="BF62"/>
  <c r="BA62"/>
  <c r="AZ62"/>
  <c r="AV62"/>
  <c r="AU62"/>
  <c r="AW62" s="1"/>
  <c r="AP62"/>
  <c r="AR62" s="1"/>
  <c r="Y62"/>
  <c r="W62"/>
  <c r="Z62" s="1"/>
  <c r="V62"/>
  <c r="BQ61"/>
  <c r="BP61"/>
  <c r="BL61"/>
  <c r="BK61"/>
  <c r="BH61"/>
  <c r="BG61"/>
  <c r="BF61"/>
  <c r="BB61"/>
  <c r="BA61"/>
  <c r="AZ61"/>
  <c r="AV61"/>
  <c r="AU61"/>
  <c r="AP61"/>
  <c r="AR61" s="1"/>
  <c r="W61"/>
  <c r="Z61" s="1"/>
  <c r="V61"/>
  <c r="Y61" s="1"/>
  <c r="BR60"/>
  <c r="BQ60"/>
  <c r="BS60" s="1"/>
  <c r="BP60"/>
  <c r="BL60"/>
  <c r="BK60"/>
  <c r="BG60"/>
  <c r="BI60" s="1"/>
  <c r="BF60"/>
  <c r="BH60" s="1"/>
  <c r="BB60"/>
  <c r="BA60"/>
  <c r="BC60" s="1"/>
  <c r="AZ60"/>
  <c r="AW60"/>
  <c r="AX60" s="1"/>
  <c r="AV60"/>
  <c r="AU60"/>
  <c r="AP60"/>
  <c r="W60"/>
  <c r="Z60" s="1"/>
  <c r="V60"/>
  <c r="Y60" s="1"/>
  <c r="AA60" s="1"/>
  <c r="AB60" s="1"/>
  <c r="BV59"/>
  <c r="BR59"/>
  <c r="BQ59"/>
  <c r="BP59"/>
  <c r="BM59"/>
  <c r="BL59"/>
  <c r="BW59" s="1"/>
  <c r="BK59"/>
  <c r="BG59"/>
  <c r="BF59"/>
  <c r="BA59"/>
  <c r="AZ59"/>
  <c r="BB59" s="1"/>
  <c r="AW59"/>
  <c r="AV59"/>
  <c r="AU59"/>
  <c r="AP59"/>
  <c r="AR59" s="1"/>
  <c r="W59"/>
  <c r="Z59" s="1"/>
  <c r="V59"/>
  <c r="Y59" s="1"/>
  <c r="AA59" s="1"/>
  <c r="BV58"/>
  <c r="BQ58"/>
  <c r="BP58"/>
  <c r="BR58" s="1"/>
  <c r="BM58"/>
  <c r="BL58"/>
  <c r="BK58"/>
  <c r="BH58"/>
  <c r="BI58" s="1"/>
  <c r="BG58"/>
  <c r="BF58"/>
  <c r="BA58"/>
  <c r="AZ58"/>
  <c r="AV58"/>
  <c r="AX58" s="1"/>
  <c r="AU58"/>
  <c r="AW58" s="1"/>
  <c r="AP58"/>
  <c r="AR58" s="1"/>
  <c r="W58"/>
  <c r="Z58" s="1"/>
  <c r="V58"/>
  <c r="Y58" s="1"/>
  <c r="AE58" s="1"/>
  <c r="BQ57"/>
  <c r="BP57"/>
  <c r="BL57"/>
  <c r="BK57"/>
  <c r="BH57"/>
  <c r="BG57"/>
  <c r="BI57" s="1"/>
  <c r="BF57"/>
  <c r="BC57"/>
  <c r="BB57"/>
  <c r="BA57"/>
  <c r="AZ57"/>
  <c r="AV57"/>
  <c r="AU57"/>
  <c r="AP57"/>
  <c r="AR57" s="1"/>
  <c r="W57"/>
  <c r="Z57" s="1"/>
  <c r="V57"/>
  <c r="Y57" s="1"/>
  <c r="AH57" s="1"/>
  <c r="AI57" s="1"/>
  <c r="BR56"/>
  <c r="BQ56"/>
  <c r="BP56"/>
  <c r="BL56"/>
  <c r="BK56"/>
  <c r="BG56"/>
  <c r="BF56"/>
  <c r="BH56" s="1"/>
  <c r="BB56"/>
  <c r="BA56"/>
  <c r="AZ56"/>
  <c r="AW56"/>
  <c r="AV56"/>
  <c r="AX56" s="1"/>
  <c r="AU56"/>
  <c r="AP56"/>
  <c r="W56"/>
  <c r="Z56" s="1"/>
  <c r="AB56" s="1"/>
  <c r="V56"/>
  <c r="Y56" s="1"/>
  <c r="AA56" s="1"/>
  <c r="BV55"/>
  <c r="BR55"/>
  <c r="BS55" s="1"/>
  <c r="BQ55"/>
  <c r="BP55"/>
  <c r="BM55"/>
  <c r="BL55"/>
  <c r="BN55" s="1"/>
  <c r="BK55"/>
  <c r="BG55"/>
  <c r="BF55"/>
  <c r="BA55"/>
  <c r="BC55" s="1"/>
  <c r="AZ55"/>
  <c r="BB55" s="1"/>
  <c r="AW55"/>
  <c r="AV55"/>
  <c r="AX55" s="1"/>
  <c r="AU55"/>
  <c r="AP55"/>
  <c r="AR55" s="1"/>
  <c r="Z55"/>
  <c r="W55"/>
  <c r="V55"/>
  <c r="Y55" s="1"/>
  <c r="BV54"/>
  <c r="BQ54"/>
  <c r="BP54"/>
  <c r="BR54" s="1"/>
  <c r="BM54"/>
  <c r="BL54"/>
  <c r="BK54"/>
  <c r="BI54"/>
  <c r="BH54"/>
  <c r="BG54"/>
  <c r="BF54"/>
  <c r="BA54"/>
  <c r="AZ54"/>
  <c r="AV54"/>
  <c r="AU54"/>
  <c r="AW54" s="1"/>
  <c r="AP54"/>
  <c r="AR54" s="1"/>
  <c r="Y54"/>
  <c r="AE54" s="1"/>
  <c r="W54"/>
  <c r="Z54" s="1"/>
  <c r="V54"/>
  <c r="BQ53"/>
  <c r="BP53"/>
  <c r="BL53"/>
  <c r="BK53"/>
  <c r="BH53"/>
  <c r="BG53"/>
  <c r="BF53"/>
  <c r="BB53"/>
  <c r="BA53"/>
  <c r="AZ53"/>
  <c r="AV53"/>
  <c r="AU53"/>
  <c r="AP53"/>
  <c r="AR53" s="1"/>
  <c r="W53"/>
  <c r="Z53" s="1"/>
  <c r="V53"/>
  <c r="Y53" s="1"/>
  <c r="BR52"/>
  <c r="BQ52"/>
  <c r="BS52" s="1"/>
  <c r="BP52"/>
  <c r="BL52"/>
  <c r="BK52"/>
  <c r="BG52"/>
  <c r="BI52" s="1"/>
  <c r="BF52"/>
  <c r="BH52" s="1"/>
  <c r="BB52"/>
  <c r="BA52"/>
  <c r="BC52" s="1"/>
  <c r="AZ52"/>
  <c r="AW52"/>
  <c r="AX52" s="1"/>
  <c r="AV52"/>
  <c r="AU52"/>
  <c r="AP52"/>
  <c r="W52"/>
  <c r="Z52" s="1"/>
  <c r="V52"/>
  <c r="Y52" s="1"/>
  <c r="AA52" s="1"/>
  <c r="AB52" s="1"/>
  <c r="BV51"/>
  <c r="BR51"/>
  <c r="BQ51"/>
  <c r="BP51"/>
  <c r="BM51"/>
  <c r="BL51"/>
  <c r="BW51" s="1"/>
  <c r="BK51"/>
  <c r="BG51"/>
  <c r="BF51"/>
  <c r="BH51" s="1"/>
  <c r="BI51" s="1"/>
  <c r="BA51"/>
  <c r="AZ51"/>
  <c r="BB51" s="1"/>
  <c r="AW51"/>
  <c r="AV51"/>
  <c r="AU51"/>
  <c r="AP51"/>
  <c r="AR51" s="1"/>
  <c r="W51"/>
  <c r="Z51" s="1"/>
  <c r="AB51" s="1"/>
  <c r="V51"/>
  <c r="Y51" s="1"/>
  <c r="AA51" s="1"/>
  <c r="BW50"/>
  <c r="BV50"/>
  <c r="BR50"/>
  <c r="BQ50"/>
  <c r="BP50"/>
  <c r="BM50"/>
  <c r="BN50" s="1"/>
  <c r="BL50"/>
  <c r="BK50"/>
  <c r="BG50"/>
  <c r="BF50"/>
  <c r="BA50"/>
  <c r="AZ50"/>
  <c r="BB50" s="1"/>
  <c r="AW50"/>
  <c r="AV50"/>
  <c r="AU50"/>
  <c r="AP50"/>
  <c r="AR50" s="1"/>
  <c r="Z50"/>
  <c r="W50"/>
  <c r="V50"/>
  <c r="Y50" s="1"/>
  <c r="AA50" s="1"/>
  <c r="BV49"/>
  <c r="BQ49"/>
  <c r="BP49"/>
  <c r="BR49" s="1"/>
  <c r="BM49"/>
  <c r="BL49"/>
  <c r="BK49"/>
  <c r="BH49"/>
  <c r="BI49" s="1"/>
  <c r="BG49"/>
  <c r="BF49"/>
  <c r="BA49"/>
  <c r="AZ49"/>
  <c r="AV49"/>
  <c r="AX49" s="1"/>
  <c r="AU49"/>
  <c r="AW49" s="1"/>
  <c r="AP49"/>
  <c r="AR49" s="1"/>
  <c r="Y49"/>
  <c r="AE49" s="1"/>
  <c r="W49"/>
  <c r="Z49" s="1"/>
  <c r="V49"/>
  <c r="T49"/>
  <c r="BQ48"/>
  <c r="BP48"/>
  <c r="BL48"/>
  <c r="BK48"/>
  <c r="BH48"/>
  <c r="BG48"/>
  <c r="BI48" s="1"/>
  <c r="BF48"/>
  <c r="BB48"/>
  <c r="BA48"/>
  <c r="BC48" s="1"/>
  <c r="AZ48"/>
  <c r="AV48"/>
  <c r="AU48"/>
  <c r="AP48"/>
  <c r="AR48" s="1"/>
  <c r="W48"/>
  <c r="Z48" s="1"/>
  <c r="V48"/>
  <c r="Y48" s="1"/>
  <c r="T48"/>
  <c r="BR47"/>
  <c r="BQ47"/>
  <c r="BP47"/>
  <c r="BL47"/>
  <c r="BK47"/>
  <c r="BG47"/>
  <c r="BF47"/>
  <c r="BH47" s="1"/>
  <c r="BB47"/>
  <c r="BA47"/>
  <c r="AZ47"/>
  <c r="AX47"/>
  <c r="AW47"/>
  <c r="AV47"/>
  <c r="AU47"/>
  <c r="AP47"/>
  <c r="W47"/>
  <c r="Z47" s="1"/>
  <c r="V47"/>
  <c r="Y47" s="1"/>
  <c r="AA47" s="1"/>
  <c r="T47"/>
  <c r="BV46"/>
  <c r="BW46" s="1"/>
  <c r="BR46"/>
  <c r="BQ46"/>
  <c r="BP46"/>
  <c r="BN46"/>
  <c r="BM46"/>
  <c r="BL46"/>
  <c r="BK46"/>
  <c r="BG46"/>
  <c r="BF46"/>
  <c r="BA46"/>
  <c r="BC46" s="1"/>
  <c r="AZ46"/>
  <c r="BB46" s="1"/>
  <c r="AW46"/>
  <c r="AV46"/>
  <c r="AX46" s="1"/>
  <c r="AU46"/>
  <c r="AP46"/>
  <c r="AR46" s="1"/>
  <c r="Z46"/>
  <c r="W46"/>
  <c r="V46"/>
  <c r="Y46" s="1"/>
  <c r="AE46" s="1"/>
  <c r="T46"/>
  <c r="BV45"/>
  <c r="BQ45"/>
  <c r="BP45"/>
  <c r="BR45" s="1"/>
  <c r="BM45"/>
  <c r="BL45"/>
  <c r="BK45"/>
  <c r="BH45"/>
  <c r="BG45"/>
  <c r="BI45" s="1"/>
  <c r="BF45"/>
  <c r="BA45"/>
  <c r="AZ45"/>
  <c r="AV45"/>
  <c r="AU45"/>
  <c r="AW45" s="1"/>
  <c r="AR45"/>
  <c r="AP45"/>
  <c r="Z45"/>
  <c r="W45"/>
  <c r="V45"/>
  <c r="Y45" s="1"/>
  <c r="T45"/>
  <c r="BQ44"/>
  <c r="BP44"/>
  <c r="BL44"/>
  <c r="BK44"/>
  <c r="BH44"/>
  <c r="BG44"/>
  <c r="BF44"/>
  <c r="BB44"/>
  <c r="BA44"/>
  <c r="AZ44"/>
  <c r="AV44"/>
  <c r="AU44"/>
  <c r="AP44"/>
  <c r="AR44" s="1"/>
  <c r="Y44"/>
  <c r="W44"/>
  <c r="Z44" s="1"/>
  <c r="V44"/>
  <c r="T44"/>
  <c r="BR43"/>
  <c r="BQ43"/>
  <c r="BS43" s="1"/>
  <c r="BP43"/>
  <c r="BL43"/>
  <c r="BK43"/>
  <c r="BG43"/>
  <c r="BI43" s="1"/>
  <c r="BF43"/>
  <c r="BH43" s="1"/>
  <c r="BB43"/>
  <c r="BA43"/>
  <c r="BC43" s="1"/>
  <c r="AZ43"/>
  <c r="AW43"/>
  <c r="AX43" s="1"/>
  <c r="AV43"/>
  <c r="AU43"/>
  <c r="AP43"/>
  <c r="AA43"/>
  <c r="W43"/>
  <c r="Z43" s="1"/>
  <c r="AB43" s="1"/>
  <c r="V43"/>
  <c r="Y43" s="1"/>
  <c r="T43"/>
  <c r="BW42"/>
  <c r="BV42"/>
  <c r="BR42"/>
  <c r="BQ42"/>
  <c r="BP42"/>
  <c r="BM42"/>
  <c r="BN42" s="1"/>
  <c r="BL42"/>
  <c r="BK42"/>
  <c r="BG42"/>
  <c r="BF42"/>
  <c r="BA42"/>
  <c r="AZ42"/>
  <c r="BB42" s="1"/>
  <c r="AW42"/>
  <c r="AV42"/>
  <c r="AU42"/>
  <c r="AR42"/>
  <c r="AP42"/>
  <c r="Z42"/>
  <c r="W42"/>
  <c r="V42"/>
  <c r="Y42" s="1"/>
  <c r="AA42" s="1"/>
  <c r="T42"/>
  <c r="BV41"/>
  <c r="BQ41"/>
  <c r="BP41"/>
  <c r="BR41" s="1"/>
  <c r="BM41"/>
  <c r="BN41" s="1"/>
  <c r="BL41"/>
  <c r="BK41"/>
  <c r="BH41"/>
  <c r="BG41"/>
  <c r="BF41"/>
  <c r="BA41"/>
  <c r="AZ41"/>
  <c r="AV41"/>
  <c r="AX41" s="1"/>
  <c r="AU41"/>
  <c r="AW41" s="1"/>
  <c r="AP41"/>
  <c r="AR41" s="1"/>
  <c r="W41"/>
  <c r="Z41" s="1"/>
  <c r="V41"/>
  <c r="Y41" s="1"/>
  <c r="AE41" s="1"/>
  <c r="T41"/>
  <c r="BQ40"/>
  <c r="BP40"/>
  <c r="BL40"/>
  <c r="BK40"/>
  <c r="BH40"/>
  <c r="BG40"/>
  <c r="BI40" s="1"/>
  <c r="BF40"/>
  <c r="BB40"/>
  <c r="BA40"/>
  <c r="BC40" s="1"/>
  <c r="AZ40"/>
  <c r="AV40"/>
  <c r="AU40"/>
  <c r="AP40"/>
  <c r="AR40" s="1"/>
  <c r="Y40"/>
  <c r="W40"/>
  <c r="Z40" s="1"/>
  <c r="V40"/>
  <c r="T40"/>
  <c r="BR39"/>
  <c r="BQ39"/>
  <c r="BP39"/>
  <c r="BL39"/>
  <c r="BK39"/>
  <c r="BG39"/>
  <c r="BF39"/>
  <c r="BH39" s="1"/>
  <c r="BB39"/>
  <c r="BA39"/>
  <c r="AZ39"/>
  <c r="AX39"/>
  <c r="AW39"/>
  <c r="AV39"/>
  <c r="AU39"/>
  <c r="AP39"/>
  <c r="W39"/>
  <c r="Z39" s="1"/>
  <c r="AB39" s="1"/>
  <c r="V39"/>
  <c r="Y39" s="1"/>
  <c r="AA39" s="1"/>
  <c r="T39"/>
  <c r="BV38"/>
  <c r="BW38" s="1"/>
  <c r="BR38"/>
  <c r="BQ38"/>
  <c r="BP38"/>
  <c r="BN38"/>
  <c r="BM38"/>
  <c r="BL38"/>
  <c r="BK38"/>
  <c r="BG38"/>
  <c r="BF38"/>
  <c r="BA38"/>
  <c r="BC38" s="1"/>
  <c r="AZ38"/>
  <c r="BB38" s="1"/>
  <c r="AW38"/>
  <c r="AV38"/>
  <c r="AX38" s="1"/>
  <c r="AU38"/>
  <c r="AP38"/>
  <c r="AR38" s="1"/>
  <c r="W38"/>
  <c r="Z38" s="1"/>
  <c r="V38"/>
  <c r="Y38" s="1"/>
  <c r="T38"/>
  <c r="BV37"/>
  <c r="BQ37"/>
  <c r="BP37"/>
  <c r="BR37" s="1"/>
  <c r="BM37"/>
  <c r="BL37"/>
  <c r="BK37"/>
  <c r="BI37"/>
  <c r="BH37"/>
  <c r="BG37"/>
  <c r="BF37"/>
  <c r="BA37"/>
  <c r="AZ37"/>
  <c r="AV37"/>
  <c r="AU37"/>
  <c r="AW37" s="1"/>
  <c r="AP37"/>
  <c r="AR37" s="1"/>
  <c r="Y37"/>
  <c r="AH37" s="1"/>
  <c r="W37"/>
  <c r="Z37" s="1"/>
  <c r="V37"/>
  <c r="T37"/>
  <c r="BQ36"/>
  <c r="BP36"/>
  <c r="BL36"/>
  <c r="BK36"/>
  <c r="BH36"/>
  <c r="BG36"/>
  <c r="BF36"/>
  <c r="BB36"/>
  <c r="BA36"/>
  <c r="AZ36"/>
  <c r="AV36"/>
  <c r="AU36"/>
  <c r="AP36"/>
  <c r="AR36" s="1"/>
  <c r="W36"/>
  <c r="Z36" s="1"/>
  <c r="V36"/>
  <c r="Y36" s="1"/>
  <c r="T36"/>
  <c r="BR35"/>
  <c r="BQ35"/>
  <c r="BS35" s="1"/>
  <c r="BP35"/>
  <c r="BL35"/>
  <c r="BK35"/>
  <c r="BG35"/>
  <c r="BI35" s="1"/>
  <c r="BF35"/>
  <c r="BH35" s="1"/>
  <c r="BB35"/>
  <c r="BA35"/>
  <c r="BC35" s="1"/>
  <c r="AZ35"/>
  <c r="AW35"/>
  <c r="AX35" s="1"/>
  <c r="AV35"/>
  <c r="AU35"/>
  <c r="AP35"/>
  <c r="W35"/>
  <c r="Z35" s="1"/>
  <c r="V35"/>
  <c r="Y35" s="1"/>
  <c r="AA35" s="1"/>
  <c r="AB35" s="1"/>
  <c r="T35"/>
  <c r="BW34"/>
  <c r="BV34"/>
  <c r="BR34"/>
  <c r="BQ34"/>
  <c r="BP34"/>
  <c r="BM34"/>
  <c r="BN34" s="1"/>
  <c r="BL34"/>
  <c r="BK34"/>
  <c r="BG34"/>
  <c r="BF34"/>
  <c r="BA34"/>
  <c r="AZ34"/>
  <c r="BB34" s="1"/>
  <c r="AW34"/>
  <c r="AV34"/>
  <c r="AU34"/>
  <c r="AP34"/>
  <c r="AR34" s="1"/>
  <c r="Z34"/>
  <c r="W34"/>
  <c r="V34"/>
  <c r="Y34" s="1"/>
  <c r="AA34" s="1"/>
  <c r="T34"/>
  <c r="BV33"/>
  <c r="BQ33"/>
  <c r="BP33"/>
  <c r="BR33" s="1"/>
  <c r="BS33" s="1"/>
  <c r="BM33"/>
  <c r="BL33"/>
  <c r="BK33"/>
  <c r="BH33"/>
  <c r="BG33"/>
  <c r="BF33"/>
  <c r="BA33"/>
  <c r="AZ33"/>
  <c r="AV33"/>
  <c r="AX33" s="1"/>
  <c r="AU33"/>
  <c r="AW33" s="1"/>
  <c r="AR33"/>
  <c r="AP33"/>
  <c r="Z33"/>
  <c r="Y33"/>
  <c r="AE33" s="1"/>
  <c r="W33"/>
  <c r="V33"/>
  <c r="T33"/>
  <c r="BQ32"/>
  <c r="BP32"/>
  <c r="BL32"/>
  <c r="BK32"/>
  <c r="BH32"/>
  <c r="BG32"/>
  <c r="BI32" s="1"/>
  <c r="BF32"/>
  <c r="BB32"/>
  <c r="BA32"/>
  <c r="BC32" s="1"/>
  <c r="AZ32"/>
  <c r="AV32"/>
  <c r="AU32"/>
  <c r="AP32"/>
  <c r="AR32" s="1"/>
  <c r="W32"/>
  <c r="Z32" s="1"/>
  <c r="V32"/>
  <c r="Y32" s="1"/>
  <c r="T32"/>
  <c r="BR31"/>
  <c r="BQ31"/>
  <c r="BP31"/>
  <c r="BL31"/>
  <c r="BK31"/>
  <c r="BG31"/>
  <c r="BF31"/>
  <c r="BH31" s="1"/>
  <c r="BB31"/>
  <c r="BA31"/>
  <c r="AZ31"/>
  <c r="AX31"/>
  <c r="AW31"/>
  <c r="AV31"/>
  <c r="AU31"/>
  <c r="AP31"/>
  <c r="W31"/>
  <c r="Z31" s="1"/>
  <c r="AB31" s="1"/>
  <c r="V31"/>
  <c r="Y31" s="1"/>
  <c r="AA31" s="1"/>
  <c r="T31"/>
  <c r="BV30"/>
  <c r="BW30" s="1"/>
  <c r="BR30"/>
  <c r="BQ30"/>
  <c r="BP30"/>
  <c r="BN30"/>
  <c r="BM30"/>
  <c r="BL30"/>
  <c r="BK30"/>
  <c r="BG30"/>
  <c r="BI30" s="1"/>
  <c r="BJ29" s="1"/>
  <c r="BF30"/>
  <c r="BH30" s="1"/>
  <c r="BA30"/>
  <c r="BC30" s="1"/>
  <c r="AZ30"/>
  <c r="BB30" s="1"/>
  <c r="AW30"/>
  <c r="AV30"/>
  <c r="AX30" s="1"/>
  <c r="AU30"/>
  <c r="AR30"/>
  <c r="AP30"/>
  <c r="W30"/>
  <c r="Z30" s="1"/>
  <c r="V30"/>
  <c r="Y30" s="1"/>
  <c r="T30"/>
  <c r="BV29"/>
  <c r="BW29" s="1"/>
  <c r="BR29"/>
  <c r="BQ29"/>
  <c r="BP29"/>
  <c r="BN29"/>
  <c r="BM29"/>
  <c r="BL29"/>
  <c r="BK29"/>
  <c r="BI29"/>
  <c r="BG29"/>
  <c r="BF29"/>
  <c r="BH29" s="1"/>
  <c r="BA29"/>
  <c r="BC29" s="1"/>
  <c r="BD29" s="1"/>
  <c r="AZ29"/>
  <c r="BB29" s="1"/>
  <c r="AW29"/>
  <c r="AV29"/>
  <c r="AX29" s="1"/>
  <c r="AU29"/>
  <c r="AP29"/>
  <c r="AR29" s="1"/>
  <c r="W29"/>
  <c r="Z29" s="1"/>
  <c r="V29"/>
  <c r="Y29" s="1"/>
  <c r="AH29" s="1"/>
  <c r="T29"/>
  <c r="U30" s="1"/>
  <c r="BQ28"/>
  <c r="BP28"/>
  <c r="BL28"/>
  <c r="BK28"/>
  <c r="BG28"/>
  <c r="BF28"/>
  <c r="BB28"/>
  <c r="BA28"/>
  <c r="AZ28"/>
  <c r="AW28"/>
  <c r="AV28"/>
  <c r="AU28"/>
  <c r="AP28"/>
  <c r="AG28"/>
  <c r="AF28"/>
  <c r="Z28"/>
  <c r="AB28" s="1"/>
  <c r="Y28"/>
  <c r="BQ27"/>
  <c r="BP27"/>
  <c r="BL27"/>
  <c r="BK27"/>
  <c r="BG27"/>
  <c r="BF27"/>
  <c r="BA27"/>
  <c r="AZ27"/>
  <c r="AV27"/>
  <c r="AU27"/>
  <c r="AP27"/>
  <c r="Z27"/>
  <c r="Y27"/>
  <c r="G9"/>
  <c r="AR8" s="1"/>
  <c r="G8"/>
  <c r="O15" i="1"/>
  <c r="W260"/>
  <c r="Z260" s="1"/>
  <c r="W261"/>
  <c r="W262"/>
  <c r="W263"/>
  <c r="W264"/>
  <c r="W265"/>
  <c r="W266"/>
  <c r="W267"/>
  <c r="W268"/>
  <c r="Z268" s="1"/>
  <c r="W269"/>
  <c r="Z261"/>
  <c r="Z265"/>
  <c r="Z269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BF30"/>
  <c r="BG30"/>
  <c r="BF31"/>
  <c r="BH31" s="1"/>
  <c r="BG31"/>
  <c r="BF32"/>
  <c r="BG32"/>
  <c r="BF33"/>
  <c r="BH33" s="1"/>
  <c r="BG33"/>
  <c r="BF34"/>
  <c r="BG34"/>
  <c r="BF35"/>
  <c r="BH35" s="1"/>
  <c r="BG35"/>
  <c r="BF36"/>
  <c r="BG36"/>
  <c r="BF37"/>
  <c r="BH37" s="1"/>
  <c r="BG37"/>
  <c r="BF38"/>
  <c r="BG38"/>
  <c r="BF39"/>
  <c r="BH39" s="1"/>
  <c r="BG39"/>
  <c r="BF40"/>
  <c r="BG40"/>
  <c r="BF41"/>
  <c r="BH41" s="1"/>
  <c r="BG41"/>
  <c r="BF42"/>
  <c r="BG42"/>
  <c r="BF43"/>
  <c r="BH43" s="1"/>
  <c r="BG43"/>
  <c r="BF44"/>
  <c r="BG44"/>
  <c r="BF45"/>
  <c r="BH45" s="1"/>
  <c r="BG45"/>
  <c r="BF46"/>
  <c r="BG46"/>
  <c r="BF47"/>
  <c r="BH47" s="1"/>
  <c r="BG47"/>
  <c r="BF48"/>
  <c r="BG48"/>
  <c r="BF49"/>
  <c r="BH49" s="1"/>
  <c r="BG49"/>
  <c r="BF50"/>
  <c r="BG50"/>
  <c r="BF51"/>
  <c r="BH51" s="1"/>
  <c r="BG51"/>
  <c r="BF52"/>
  <c r="BG52"/>
  <c r="BF53"/>
  <c r="BH53" s="1"/>
  <c r="BG53"/>
  <c r="BF54"/>
  <c r="BG54"/>
  <c r="BF55"/>
  <c r="BH55" s="1"/>
  <c r="BG55"/>
  <c r="BF56"/>
  <c r="BG56"/>
  <c r="BF57"/>
  <c r="BH57" s="1"/>
  <c r="BG57"/>
  <c r="BF58"/>
  <c r="BG58"/>
  <c r="BF59"/>
  <c r="BH59" s="1"/>
  <c r="BG59"/>
  <c r="BF60"/>
  <c r="BG60"/>
  <c r="BF61"/>
  <c r="BH61" s="1"/>
  <c r="BG61"/>
  <c r="BF62"/>
  <c r="BG62"/>
  <c r="BF63"/>
  <c r="BH63" s="1"/>
  <c r="BG63"/>
  <c r="BF64"/>
  <c r="BG64"/>
  <c r="BF65"/>
  <c r="BH65" s="1"/>
  <c r="BG65"/>
  <c r="BF66"/>
  <c r="BG66"/>
  <c r="BF67"/>
  <c r="BH67" s="1"/>
  <c r="BG67"/>
  <c r="BF68"/>
  <c r="BG68"/>
  <c r="BF69"/>
  <c r="BH69" s="1"/>
  <c r="BG69"/>
  <c r="BF70"/>
  <c r="BG70"/>
  <c r="BF71"/>
  <c r="BH71" s="1"/>
  <c r="BG71"/>
  <c r="BF72"/>
  <c r="BG72"/>
  <c r="BF73"/>
  <c r="BH73" s="1"/>
  <c r="BG73"/>
  <c r="BF74"/>
  <c r="BG74"/>
  <c r="BF75"/>
  <c r="BH75" s="1"/>
  <c r="BG75"/>
  <c r="BF76"/>
  <c r="BG76"/>
  <c r="BF77"/>
  <c r="BH77" s="1"/>
  <c r="BG77"/>
  <c r="BF78"/>
  <c r="BG78"/>
  <c r="BF79"/>
  <c r="BH79" s="1"/>
  <c r="BG79"/>
  <c r="BF80"/>
  <c r="BG80"/>
  <c r="BF81"/>
  <c r="BH81" s="1"/>
  <c r="BG81"/>
  <c r="BF82"/>
  <c r="BG82"/>
  <c r="BF83"/>
  <c r="BH83" s="1"/>
  <c r="BG83"/>
  <c r="BF84"/>
  <c r="BG84"/>
  <c r="BF85"/>
  <c r="BH85" s="1"/>
  <c r="BG85"/>
  <c r="BF86"/>
  <c r="BG86"/>
  <c r="BF87"/>
  <c r="BH87" s="1"/>
  <c r="BG87"/>
  <c r="BF88"/>
  <c r="BG88"/>
  <c r="BF89"/>
  <c r="BH89" s="1"/>
  <c r="BG89"/>
  <c r="BF90"/>
  <c r="BG90"/>
  <c r="BF91"/>
  <c r="BH91" s="1"/>
  <c r="BG91"/>
  <c r="BF92"/>
  <c r="BG92"/>
  <c r="BF93"/>
  <c r="BH93" s="1"/>
  <c r="BG93"/>
  <c r="BF94"/>
  <c r="BG94"/>
  <c r="BF95"/>
  <c r="BH95" s="1"/>
  <c r="BG95"/>
  <c r="BF96"/>
  <c r="BG96"/>
  <c r="BF97"/>
  <c r="BH97" s="1"/>
  <c r="BG97"/>
  <c r="BF98"/>
  <c r="BG98"/>
  <c r="BF99"/>
  <c r="BH99" s="1"/>
  <c r="BG99"/>
  <c r="BF100"/>
  <c r="BG100"/>
  <c r="BF101"/>
  <c r="BH101" s="1"/>
  <c r="BG101"/>
  <c r="BF102"/>
  <c r="BG102"/>
  <c r="BF103"/>
  <c r="BH103" s="1"/>
  <c r="BG103"/>
  <c r="BF104"/>
  <c r="BG104"/>
  <c r="BF105"/>
  <c r="BH105" s="1"/>
  <c r="BG105"/>
  <c r="BF106"/>
  <c r="BG106"/>
  <c r="BF107"/>
  <c r="BH107" s="1"/>
  <c r="BG107"/>
  <c r="BF108"/>
  <c r="BG108"/>
  <c r="BF109"/>
  <c r="BH109" s="1"/>
  <c r="BG109"/>
  <c r="BF110"/>
  <c r="BG110"/>
  <c r="BF111"/>
  <c r="BH111" s="1"/>
  <c r="BG111"/>
  <c r="BF112"/>
  <c r="BG112"/>
  <c r="BF113"/>
  <c r="BH113" s="1"/>
  <c r="BG113"/>
  <c r="BF114"/>
  <c r="BG114"/>
  <c r="BF115"/>
  <c r="BH115" s="1"/>
  <c r="BG115"/>
  <c r="BF116"/>
  <c r="BG116"/>
  <c r="BF117"/>
  <c r="BH117" s="1"/>
  <c r="BG117"/>
  <c r="BF118"/>
  <c r="BG118"/>
  <c r="BF119"/>
  <c r="BH119" s="1"/>
  <c r="BG119"/>
  <c r="BF120"/>
  <c r="BG120"/>
  <c r="BF121"/>
  <c r="BH121" s="1"/>
  <c r="BG121"/>
  <c r="BF122"/>
  <c r="BG122"/>
  <c r="BF123"/>
  <c r="BH123" s="1"/>
  <c r="BG123"/>
  <c r="BF124"/>
  <c r="BG124"/>
  <c r="BF125"/>
  <c r="BH125" s="1"/>
  <c r="BG125"/>
  <c r="BF126"/>
  <c r="BG126"/>
  <c r="BF127"/>
  <c r="BH127" s="1"/>
  <c r="BG127"/>
  <c r="BF128"/>
  <c r="BG128"/>
  <c r="BF129"/>
  <c r="BH129" s="1"/>
  <c r="BG129"/>
  <c r="BF130"/>
  <c r="BG130"/>
  <c r="BF131"/>
  <c r="BH131" s="1"/>
  <c r="BG131"/>
  <c r="BF132"/>
  <c r="BG132"/>
  <c r="BF133"/>
  <c r="BH133" s="1"/>
  <c r="BG133"/>
  <c r="BF134"/>
  <c r="BG134"/>
  <c r="BF135"/>
  <c r="BH135" s="1"/>
  <c r="BG135"/>
  <c r="BF136"/>
  <c r="BG136"/>
  <c r="BF137"/>
  <c r="BH137" s="1"/>
  <c r="BG137"/>
  <c r="BF138"/>
  <c r="BG138"/>
  <c r="BF139"/>
  <c r="BH139" s="1"/>
  <c r="BG139"/>
  <c r="BF140"/>
  <c r="BG140"/>
  <c r="BF141"/>
  <c r="BH141" s="1"/>
  <c r="BG141"/>
  <c r="BF142"/>
  <c r="BG142"/>
  <c r="BF143"/>
  <c r="BH143" s="1"/>
  <c r="BG143"/>
  <c r="BF144"/>
  <c r="BG144"/>
  <c r="BF145"/>
  <c r="BH145" s="1"/>
  <c r="BG145"/>
  <c r="BF146"/>
  <c r="BG146"/>
  <c r="BF147"/>
  <c r="BH147" s="1"/>
  <c r="BG147"/>
  <c r="BF148"/>
  <c r="BG148"/>
  <c r="BF149"/>
  <c r="BH149" s="1"/>
  <c r="BG149"/>
  <c r="BF150"/>
  <c r="BG150"/>
  <c r="BF151"/>
  <c r="BH151" s="1"/>
  <c r="BG151"/>
  <c r="BF152"/>
  <c r="BG152"/>
  <c r="BF153"/>
  <c r="BH153" s="1"/>
  <c r="BG153"/>
  <c r="BF154"/>
  <c r="BG154"/>
  <c r="BF155"/>
  <c r="BH155" s="1"/>
  <c r="BG155"/>
  <c r="BF156"/>
  <c r="BG156"/>
  <c r="BF157"/>
  <c r="BH157" s="1"/>
  <c r="BG157"/>
  <c r="BF158"/>
  <c r="BG158"/>
  <c r="BF159"/>
  <c r="BH159" s="1"/>
  <c r="BG159"/>
  <c r="BF160"/>
  <c r="BG160"/>
  <c r="BF161"/>
  <c r="BH161" s="1"/>
  <c r="BG161"/>
  <c r="BF162"/>
  <c r="BG162"/>
  <c r="BF163"/>
  <c r="BH163" s="1"/>
  <c r="BG163"/>
  <c r="BF164"/>
  <c r="BG164"/>
  <c r="BF165"/>
  <c r="BH165" s="1"/>
  <c r="BG165"/>
  <c r="BF166"/>
  <c r="BG166"/>
  <c r="BF167"/>
  <c r="BH167" s="1"/>
  <c r="BG167"/>
  <c r="BF168"/>
  <c r="BG168"/>
  <c r="BF169"/>
  <c r="BH169" s="1"/>
  <c r="BG169"/>
  <c r="BF170"/>
  <c r="BG170"/>
  <c r="BF171"/>
  <c r="BH171" s="1"/>
  <c r="BG171"/>
  <c r="BF172"/>
  <c r="BG172"/>
  <c r="BF173"/>
  <c r="BH173" s="1"/>
  <c r="BG173"/>
  <c r="BF174"/>
  <c r="BG174"/>
  <c r="BF175"/>
  <c r="BH175" s="1"/>
  <c r="BG175"/>
  <c r="BF176"/>
  <c r="BG176"/>
  <c r="BF177"/>
  <c r="BH177" s="1"/>
  <c r="BG177"/>
  <c r="BF178"/>
  <c r="BG178"/>
  <c r="BF179"/>
  <c r="BH179" s="1"/>
  <c r="BG179"/>
  <c r="BG29"/>
  <c r="BF29"/>
  <c r="BH29" s="1"/>
  <c r="BF28"/>
  <c r="BG28"/>
  <c r="BG27"/>
  <c r="BF27"/>
  <c r="BR295"/>
  <c r="BS295" s="1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158"/>
  <c r="BQ159"/>
  <c r="BQ160"/>
  <c r="BQ161"/>
  <c r="BQ162"/>
  <c r="BQ163"/>
  <c r="BQ164"/>
  <c r="BQ165"/>
  <c r="BQ166"/>
  <c r="BQ167"/>
  <c r="BQ168"/>
  <c r="BQ169"/>
  <c r="BQ170"/>
  <c r="BQ171"/>
  <c r="BQ172"/>
  <c r="BQ173"/>
  <c r="BQ174"/>
  <c r="BQ175"/>
  <c r="BQ176"/>
  <c r="BQ177"/>
  <c r="BQ178"/>
  <c r="BQ179"/>
  <c r="BQ180"/>
  <c r="BQ181"/>
  <c r="BQ182"/>
  <c r="BQ183"/>
  <c r="BQ184"/>
  <c r="BQ185"/>
  <c r="BQ186"/>
  <c r="BQ187"/>
  <c r="BQ188"/>
  <c r="BQ189"/>
  <c r="BQ190"/>
  <c r="BQ191"/>
  <c r="BQ192"/>
  <c r="BQ193"/>
  <c r="BQ194"/>
  <c r="BQ195"/>
  <c r="BQ196"/>
  <c r="BQ197"/>
  <c r="BQ198"/>
  <c r="BQ199"/>
  <c r="BQ200"/>
  <c r="BQ201"/>
  <c r="BQ202"/>
  <c r="BQ203"/>
  <c r="BQ204"/>
  <c r="BQ205"/>
  <c r="BQ206"/>
  <c r="BQ207"/>
  <c r="BQ208"/>
  <c r="BQ209"/>
  <c r="BQ210"/>
  <c r="BQ211"/>
  <c r="BQ212"/>
  <c r="BQ213"/>
  <c r="BQ214"/>
  <c r="BQ215"/>
  <c r="BQ216"/>
  <c r="BQ217"/>
  <c r="BQ218"/>
  <c r="BQ219"/>
  <c r="BQ220"/>
  <c r="BQ221"/>
  <c r="BQ222"/>
  <c r="BQ223"/>
  <c r="BQ224"/>
  <c r="BQ225"/>
  <c r="BQ226"/>
  <c r="BQ227"/>
  <c r="BQ228"/>
  <c r="BQ229"/>
  <c r="BQ230"/>
  <c r="BQ231"/>
  <c r="BQ232"/>
  <c r="BQ233"/>
  <c r="BQ234"/>
  <c r="BQ235"/>
  <c r="BQ236"/>
  <c r="BQ237"/>
  <c r="BQ238"/>
  <c r="BQ239"/>
  <c r="BQ240"/>
  <c r="BQ241"/>
  <c r="BQ242"/>
  <c r="BQ243"/>
  <c r="BQ244"/>
  <c r="BQ245"/>
  <c r="BQ246"/>
  <c r="BQ247"/>
  <c r="BQ248"/>
  <c r="BQ249"/>
  <c r="BQ250"/>
  <c r="BQ251"/>
  <c r="BQ252"/>
  <c r="BQ253"/>
  <c r="BQ254"/>
  <c r="BQ255"/>
  <c r="BQ256"/>
  <c r="BQ257"/>
  <c r="BQ258"/>
  <c r="BQ259"/>
  <c r="BQ260"/>
  <c r="BQ261"/>
  <c r="BQ262"/>
  <c r="BQ263"/>
  <c r="BQ264"/>
  <c r="BQ265"/>
  <c r="BQ266"/>
  <c r="BQ267"/>
  <c r="BQ268"/>
  <c r="BQ269"/>
  <c r="BQ270"/>
  <c r="BQ271"/>
  <c r="BQ272"/>
  <c r="BQ273"/>
  <c r="BQ274"/>
  <c r="BQ275"/>
  <c r="BQ276"/>
  <c r="BQ277"/>
  <c r="BQ278"/>
  <c r="BQ279"/>
  <c r="BQ280"/>
  <c r="BQ281"/>
  <c r="BQ282"/>
  <c r="BQ283"/>
  <c r="BQ284"/>
  <c r="BQ285"/>
  <c r="BQ286"/>
  <c r="BQ287"/>
  <c r="BQ288"/>
  <c r="BQ289"/>
  <c r="BQ290"/>
  <c r="BQ291"/>
  <c r="BQ292"/>
  <c r="BQ293"/>
  <c r="BQ294"/>
  <c r="BQ295"/>
  <c r="BQ296"/>
  <c r="BQ297"/>
  <c r="BQ298"/>
  <c r="BQ299"/>
  <c r="BQ300"/>
  <c r="BQ301"/>
  <c r="BQ302"/>
  <c r="BQ303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P301"/>
  <c r="BR301" s="1"/>
  <c r="BP302"/>
  <c r="BR302" s="1"/>
  <c r="BP303"/>
  <c r="BR303" s="1"/>
  <c r="BS303" s="1"/>
  <c r="BP288"/>
  <c r="BR288" s="1"/>
  <c r="BS288" s="1"/>
  <c r="BP289"/>
  <c r="BR289" s="1"/>
  <c r="BP290"/>
  <c r="BR290" s="1"/>
  <c r="BS290" s="1"/>
  <c r="BP291"/>
  <c r="BR291" s="1"/>
  <c r="BS291" s="1"/>
  <c r="BP292"/>
  <c r="BR292" s="1"/>
  <c r="BP293"/>
  <c r="BR293" s="1"/>
  <c r="BP294"/>
  <c r="BR294" s="1"/>
  <c r="BS294" s="1"/>
  <c r="BP295"/>
  <c r="BP296"/>
  <c r="BR296" s="1"/>
  <c r="BS296" s="1"/>
  <c r="BP297"/>
  <c r="BR297" s="1"/>
  <c r="BP298"/>
  <c r="BR298" s="1"/>
  <c r="BS298" s="1"/>
  <c r="BP299"/>
  <c r="BR299" s="1"/>
  <c r="BS299" s="1"/>
  <c r="BP300"/>
  <c r="BR300" s="1"/>
  <c r="BP274"/>
  <c r="BR274" s="1"/>
  <c r="BS274" s="1"/>
  <c r="BP275"/>
  <c r="BR275" s="1"/>
  <c r="BP276"/>
  <c r="BR276" s="1"/>
  <c r="BS276" s="1"/>
  <c r="BP277"/>
  <c r="BR277" s="1"/>
  <c r="BP278"/>
  <c r="BR278" s="1"/>
  <c r="BS278" s="1"/>
  <c r="BP279"/>
  <c r="BR279" s="1"/>
  <c r="BS279" s="1"/>
  <c r="BP280"/>
  <c r="BR280" s="1"/>
  <c r="BS280" s="1"/>
  <c r="BP281"/>
  <c r="BR281" s="1"/>
  <c r="BP282"/>
  <c r="BR282" s="1"/>
  <c r="BS282" s="1"/>
  <c r="BP283"/>
  <c r="BR283" s="1"/>
  <c r="BP284"/>
  <c r="BR284" s="1"/>
  <c r="BP285"/>
  <c r="BR285" s="1"/>
  <c r="BP286"/>
  <c r="BR286" s="1"/>
  <c r="BS286" s="1"/>
  <c r="BP287"/>
  <c r="BR287" s="1"/>
  <c r="BS287" s="1"/>
  <c r="BP68"/>
  <c r="BR68" s="1"/>
  <c r="BS68" s="1"/>
  <c r="BP69"/>
  <c r="BR69" s="1"/>
  <c r="BP70"/>
  <c r="BR70" s="1"/>
  <c r="BS70" s="1"/>
  <c r="BP71"/>
  <c r="BR71" s="1"/>
  <c r="BP72"/>
  <c r="BR72" s="1"/>
  <c r="BS72" s="1"/>
  <c r="BP73"/>
  <c r="BR73" s="1"/>
  <c r="BP74"/>
  <c r="BR74" s="1"/>
  <c r="BS74" s="1"/>
  <c r="BP75"/>
  <c r="BR75" s="1"/>
  <c r="BP76"/>
  <c r="BR76" s="1"/>
  <c r="BP77"/>
  <c r="BR77" s="1"/>
  <c r="BP78"/>
  <c r="BR78" s="1"/>
  <c r="BS78" s="1"/>
  <c r="BP79"/>
  <c r="BR79" s="1"/>
  <c r="BP80"/>
  <c r="BR80" s="1"/>
  <c r="BS80" s="1"/>
  <c r="BP81"/>
  <c r="BR81" s="1"/>
  <c r="BS81" s="1"/>
  <c r="BP82"/>
  <c r="BR82" s="1"/>
  <c r="BS82" s="1"/>
  <c r="BP83"/>
  <c r="BR83" s="1"/>
  <c r="BP84"/>
  <c r="BR84" s="1"/>
  <c r="BS84" s="1"/>
  <c r="BP85"/>
  <c r="BR85" s="1"/>
  <c r="BP86"/>
  <c r="BR86" s="1"/>
  <c r="BS86" s="1"/>
  <c r="BP87"/>
  <c r="BR87" s="1"/>
  <c r="BP88"/>
  <c r="BR88" s="1"/>
  <c r="BS88" s="1"/>
  <c r="BP89"/>
  <c r="BR89" s="1"/>
  <c r="BP90"/>
  <c r="BR90" s="1"/>
  <c r="BS90" s="1"/>
  <c r="BP91"/>
  <c r="BR91" s="1"/>
  <c r="BP92"/>
  <c r="BR92" s="1"/>
  <c r="BP93"/>
  <c r="BR93" s="1"/>
  <c r="BP94"/>
  <c r="BR94" s="1"/>
  <c r="BS94" s="1"/>
  <c r="BP95"/>
  <c r="BR95" s="1"/>
  <c r="BP96"/>
  <c r="BR96" s="1"/>
  <c r="BS96" s="1"/>
  <c r="BP97"/>
  <c r="BR97" s="1"/>
  <c r="BS97" s="1"/>
  <c r="BP98"/>
  <c r="BR98" s="1"/>
  <c r="BS98" s="1"/>
  <c r="BP99"/>
  <c r="BR99" s="1"/>
  <c r="BP100"/>
  <c r="BR100" s="1"/>
  <c r="BS100" s="1"/>
  <c r="BP101"/>
  <c r="BR101" s="1"/>
  <c r="BP102"/>
  <c r="BR102" s="1"/>
  <c r="BS102" s="1"/>
  <c r="BP103"/>
  <c r="BR103" s="1"/>
  <c r="BS103" s="1"/>
  <c r="BP104"/>
  <c r="BR104" s="1"/>
  <c r="BS104" s="1"/>
  <c r="BP105"/>
  <c r="BR105" s="1"/>
  <c r="BP106"/>
  <c r="BR106" s="1"/>
  <c r="BS106" s="1"/>
  <c r="BP107"/>
  <c r="BR107" s="1"/>
  <c r="BP108"/>
  <c r="BR108" s="1"/>
  <c r="BP109"/>
  <c r="BR109" s="1"/>
  <c r="BP110"/>
  <c r="BR110" s="1"/>
  <c r="BS110" s="1"/>
  <c r="BP111"/>
  <c r="BR111" s="1"/>
  <c r="BP112"/>
  <c r="BR112" s="1"/>
  <c r="BS112" s="1"/>
  <c r="BP113"/>
  <c r="BR113" s="1"/>
  <c r="BS113" s="1"/>
  <c r="BP114"/>
  <c r="BR114" s="1"/>
  <c r="BS114" s="1"/>
  <c r="BP115"/>
  <c r="BR115" s="1"/>
  <c r="BP116"/>
  <c r="BR116" s="1"/>
  <c r="BS116" s="1"/>
  <c r="BP117"/>
  <c r="BR117" s="1"/>
  <c r="BP118"/>
  <c r="BR118" s="1"/>
  <c r="BS118" s="1"/>
  <c r="BP119"/>
  <c r="BR119" s="1"/>
  <c r="BS119" s="1"/>
  <c r="BP120"/>
  <c r="BR120" s="1"/>
  <c r="BS120" s="1"/>
  <c r="BP121"/>
  <c r="BR121" s="1"/>
  <c r="BP122"/>
  <c r="BR122" s="1"/>
  <c r="BS122" s="1"/>
  <c r="BP123"/>
  <c r="BR123" s="1"/>
  <c r="BP124"/>
  <c r="BR124" s="1"/>
  <c r="BP125"/>
  <c r="BR125" s="1"/>
  <c r="BP126"/>
  <c r="BR126" s="1"/>
  <c r="BS126" s="1"/>
  <c r="BP127"/>
  <c r="BR127" s="1"/>
  <c r="BP128"/>
  <c r="BR128" s="1"/>
  <c r="BS128" s="1"/>
  <c r="BP129"/>
  <c r="BR129" s="1"/>
  <c r="BS129" s="1"/>
  <c r="BP130"/>
  <c r="BR130" s="1"/>
  <c r="BS130" s="1"/>
  <c r="BP131"/>
  <c r="BR131" s="1"/>
  <c r="BP132"/>
  <c r="BR132" s="1"/>
  <c r="BS132" s="1"/>
  <c r="BP133"/>
  <c r="BR133" s="1"/>
  <c r="BP134"/>
  <c r="BR134" s="1"/>
  <c r="BS134" s="1"/>
  <c r="BP135"/>
  <c r="BR135" s="1"/>
  <c r="BS135" s="1"/>
  <c r="BP136"/>
  <c r="BR136" s="1"/>
  <c r="BS136" s="1"/>
  <c r="BP137"/>
  <c r="BR137" s="1"/>
  <c r="BP138"/>
  <c r="BR138" s="1"/>
  <c r="BS138" s="1"/>
  <c r="BP139"/>
  <c r="BR139" s="1"/>
  <c r="BP140"/>
  <c r="BR140" s="1"/>
  <c r="BP141"/>
  <c r="BR141" s="1"/>
  <c r="BP142"/>
  <c r="BR142" s="1"/>
  <c r="BS142" s="1"/>
  <c r="BP143"/>
  <c r="BR143" s="1"/>
  <c r="BP144"/>
  <c r="BR144" s="1"/>
  <c r="BS144" s="1"/>
  <c r="BP145"/>
  <c r="BR145" s="1"/>
  <c r="BS145" s="1"/>
  <c r="BP146"/>
  <c r="BR146" s="1"/>
  <c r="BS146" s="1"/>
  <c r="BP147"/>
  <c r="BR147" s="1"/>
  <c r="BP148"/>
  <c r="BR148" s="1"/>
  <c r="BS148" s="1"/>
  <c r="BP149"/>
  <c r="BR149" s="1"/>
  <c r="BP150"/>
  <c r="BR150" s="1"/>
  <c r="BS150" s="1"/>
  <c r="BP151"/>
  <c r="BR151" s="1"/>
  <c r="BS151" s="1"/>
  <c r="BP152"/>
  <c r="BR152" s="1"/>
  <c r="BS152" s="1"/>
  <c r="BP153"/>
  <c r="BR153" s="1"/>
  <c r="BP154"/>
  <c r="BR154" s="1"/>
  <c r="BS154" s="1"/>
  <c r="BP155"/>
  <c r="BR155" s="1"/>
  <c r="BP156"/>
  <c r="BR156" s="1"/>
  <c r="BP157"/>
  <c r="BR157" s="1"/>
  <c r="BP158"/>
  <c r="BR158" s="1"/>
  <c r="BS158" s="1"/>
  <c r="BP159"/>
  <c r="BR159" s="1"/>
  <c r="BP160"/>
  <c r="BR160" s="1"/>
  <c r="BS160" s="1"/>
  <c r="BP161"/>
  <c r="BR161" s="1"/>
  <c r="BS161" s="1"/>
  <c r="BP162"/>
  <c r="BR162" s="1"/>
  <c r="BS162" s="1"/>
  <c r="BP163"/>
  <c r="BR163" s="1"/>
  <c r="BP164"/>
  <c r="BR164" s="1"/>
  <c r="BS164" s="1"/>
  <c r="BP165"/>
  <c r="BR165" s="1"/>
  <c r="BP166"/>
  <c r="BR166" s="1"/>
  <c r="BS166" s="1"/>
  <c r="BP167"/>
  <c r="BR167" s="1"/>
  <c r="BS167" s="1"/>
  <c r="BP168"/>
  <c r="BR168" s="1"/>
  <c r="BS168" s="1"/>
  <c r="BP169"/>
  <c r="BR169" s="1"/>
  <c r="BP170"/>
  <c r="BR170" s="1"/>
  <c r="BS170" s="1"/>
  <c r="BP171"/>
  <c r="BR171" s="1"/>
  <c r="BP172"/>
  <c r="BR172" s="1"/>
  <c r="BP173"/>
  <c r="BR173" s="1"/>
  <c r="BP174"/>
  <c r="BR174" s="1"/>
  <c r="BS174" s="1"/>
  <c r="BP175"/>
  <c r="BR175" s="1"/>
  <c r="BP176"/>
  <c r="BR176" s="1"/>
  <c r="BS176" s="1"/>
  <c r="BP177"/>
  <c r="BR177" s="1"/>
  <c r="BS177" s="1"/>
  <c r="BP178"/>
  <c r="BR178" s="1"/>
  <c r="BS178" s="1"/>
  <c r="BP179"/>
  <c r="BR179" s="1"/>
  <c r="BP180"/>
  <c r="BR180" s="1"/>
  <c r="BS180" s="1"/>
  <c r="BP181"/>
  <c r="BR181" s="1"/>
  <c r="BP182"/>
  <c r="BR182" s="1"/>
  <c r="BS182" s="1"/>
  <c r="BP183"/>
  <c r="BR183" s="1"/>
  <c r="BS183" s="1"/>
  <c r="BP184"/>
  <c r="BR184" s="1"/>
  <c r="BS184" s="1"/>
  <c r="BP185"/>
  <c r="BR185" s="1"/>
  <c r="BP186"/>
  <c r="BR186" s="1"/>
  <c r="BS186" s="1"/>
  <c r="BP187"/>
  <c r="BR187" s="1"/>
  <c r="BP188"/>
  <c r="BR188" s="1"/>
  <c r="BP189"/>
  <c r="BR189" s="1"/>
  <c r="BP190"/>
  <c r="BR190" s="1"/>
  <c r="BS190" s="1"/>
  <c r="BP191"/>
  <c r="BR191" s="1"/>
  <c r="BP192"/>
  <c r="BR192" s="1"/>
  <c r="BS192" s="1"/>
  <c r="BP193"/>
  <c r="BR193" s="1"/>
  <c r="BS193" s="1"/>
  <c r="BP194"/>
  <c r="BR194" s="1"/>
  <c r="BS194" s="1"/>
  <c r="BP195"/>
  <c r="BR195" s="1"/>
  <c r="BP196"/>
  <c r="BR196" s="1"/>
  <c r="BS196" s="1"/>
  <c r="BP197"/>
  <c r="BR197" s="1"/>
  <c r="BP198"/>
  <c r="BR198" s="1"/>
  <c r="BS198" s="1"/>
  <c r="BP199"/>
  <c r="BR199" s="1"/>
  <c r="BS199" s="1"/>
  <c r="BP200"/>
  <c r="BR200" s="1"/>
  <c r="BS200" s="1"/>
  <c r="BP201"/>
  <c r="BR201" s="1"/>
  <c r="BP202"/>
  <c r="BR202" s="1"/>
  <c r="BS202" s="1"/>
  <c r="BP203"/>
  <c r="BR203" s="1"/>
  <c r="BP204"/>
  <c r="BR204" s="1"/>
  <c r="BP205"/>
  <c r="BR205" s="1"/>
  <c r="BP206"/>
  <c r="BR206" s="1"/>
  <c r="BS206" s="1"/>
  <c r="BP207"/>
  <c r="BR207" s="1"/>
  <c r="BP208"/>
  <c r="BR208" s="1"/>
  <c r="BS208" s="1"/>
  <c r="BP209"/>
  <c r="BR209" s="1"/>
  <c r="BS209" s="1"/>
  <c r="BP210"/>
  <c r="BR210" s="1"/>
  <c r="BS210" s="1"/>
  <c r="BP211"/>
  <c r="BR211" s="1"/>
  <c r="BP212"/>
  <c r="BR212" s="1"/>
  <c r="BS212" s="1"/>
  <c r="BP213"/>
  <c r="BR213" s="1"/>
  <c r="BP214"/>
  <c r="BR214" s="1"/>
  <c r="BS214" s="1"/>
  <c r="BP215"/>
  <c r="BR215" s="1"/>
  <c r="BS215" s="1"/>
  <c r="BP216"/>
  <c r="BR216" s="1"/>
  <c r="BS216" s="1"/>
  <c r="BP217"/>
  <c r="BR217" s="1"/>
  <c r="BP218"/>
  <c r="BR218" s="1"/>
  <c r="BS218" s="1"/>
  <c r="BP219"/>
  <c r="BR219" s="1"/>
  <c r="BP220"/>
  <c r="BR220" s="1"/>
  <c r="BP221"/>
  <c r="BR221" s="1"/>
  <c r="BP222"/>
  <c r="BR222" s="1"/>
  <c r="BS222" s="1"/>
  <c r="BP223"/>
  <c r="BR223" s="1"/>
  <c r="BP224"/>
  <c r="BR224" s="1"/>
  <c r="BS224" s="1"/>
  <c r="BP225"/>
  <c r="BR225" s="1"/>
  <c r="BS225" s="1"/>
  <c r="BP226"/>
  <c r="BR226" s="1"/>
  <c r="BS226" s="1"/>
  <c r="BP227"/>
  <c r="BR227" s="1"/>
  <c r="BP228"/>
  <c r="BR228" s="1"/>
  <c r="BS228" s="1"/>
  <c r="BP229"/>
  <c r="BR229" s="1"/>
  <c r="BP230"/>
  <c r="BR230" s="1"/>
  <c r="BS230" s="1"/>
  <c r="BP231"/>
  <c r="BR231" s="1"/>
  <c r="BS231" s="1"/>
  <c r="BP232"/>
  <c r="BR232" s="1"/>
  <c r="BS232" s="1"/>
  <c r="BP233"/>
  <c r="BR233" s="1"/>
  <c r="BP234"/>
  <c r="BR234" s="1"/>
  <c r="BS234" s="1"/>
  <c r="BP235"/>
  <c r="BR235" s="1"/>
  <c r="BP236"/>
  <c r="BR236" s="1"/>
  <c r="BP237"/>
  <c r="BR237" s="1"/>
  <c r="BS237" s="1"/>
  <c r="BP238"/>
  <c r="BR238" s="1"/>
  <c r="BS238" s="1"/>
  <c r="BP239"/>
  <c r="BR239" s="1"/>
  <c r="BP240"/>
  <c r="BR240" s="1"/>
  <c r="BS240" s="1"/>
  <c r="BP241"/>
  <c r="BR241" s="1"/>
  <c r="BS241" s="1"/>
  <c r="BP242"/>
  <c r="BR242" s="1"/>
  <c r="BS242" s="1"/>
  <c r="BP243"/>
  <c r="BR243" s="1"/>
  <c r="BP244"/>
  <c r="BR244" s="1"/>
  <c r="BS244" s="1"/>
  <c r="BP245"/>
  <c r="BR245" s="1"/>
  <c r="BS245" s="1"/>
  <c r="BP246"/>
  <c r="BR246" s="1"/>
  <c r="BS246" s="1"/>
  <c r="BP247"/>
  <c r="BR247" s="1"/>
  <c r="BS247" s="1"/>
  <c r="BP248"/>
  <c r="BR248" s="1"/>
  <c r="BS248" s="1"/>
  <c r="BP249"/>
  <c r="BR249" s="1"/>
  <c r="BS249" s="1"/>
  <c r="BP250"/>
  <c r="BR250" s="1"/>
  <c r="BS250" s="1"/>
  <c r="BP251"/>
  <c r="BR251" s="1"/>
  <c r="BP252"/>
  <c r="BR252" s="1"/>
  <c r="BP253"/>
  <c r="BR253" s="1"/>
  <c r="BS253" s="1"/>
  <c r="BP254"/>
  <c r="BR254" s="1"/>
  <c r="BS254" s="1"/>
  <c r="BP255"/>
  <c r="BR255" s="1"/>
  <c r="BP256"/>
  <c r="BR256" s="1"/>
  <c r="BS256" s="1"/>
  <c r="BP257"/>
  <c r="BR257" s="1"/>
  <c r="BS257" s="1"/>
  <c r="BP258"/>
  <c r="BR258" s="1"/>
  <c r="BS258" s="1"/>
  <c r="BP259"/>
  <c r="BR259" s="1"/>
  <c r="BP260"/>
  <c r="BR260" s="1"/>
  <c r="BS260" s="1"/>
  <c r="BP261"/>
  <c r="BR261" s="1"/>
  <c r="BS261" s="1"/>
  <c r="BP262"/>
  <c r="BR262" s="1"/>
  <c r="BS262" s="1"/>
  <c r="BP263"/>
  <c r="BR263" s="1"/>
  <c r="BS263" s="1"/>
  <c r="BP264"/>
  <c r="BR264" s="1"/>
  <c r="BS264" s="1"/>
  <c r="BP265"/>
  <c r="BR265" s="1"/>
  <c r="BS265" s="1"/>
  <c r="BP266"/>
  <c r="BR266" s="1"/>
  <c r="BS266" s="1"/>
  <c r="BP267"/>
  <c r="BR267" s="1"/>
  <c r="BP268"/>
  <c r="BR268" s="1"/>
  <c r="BP269"/>
  <c r="BR269" s="1"/>
  <c r="BS269" s="1"/>
  <c r="BP270"/>
  <c r="BR270" s="1"/>
  <c r="BS270" s="1"/>
  <c r="BP271"/>
  <c r="BR271" s="1"/>
  <c r="BP272"/>
  <c r="BR272" s="1"/>
  <c r="BS272" s="1"/>
  <c r="BP273"/>
  <c r="BR273" s="1"/>
  <c r="BS273" s="1"/>
  <c r="BP28"/>
  <c r="BP29"/>
  <c r="BR29" s="1"/>
  <c r="BS29" s="1"/>
  <c r="BP30"/>
  <c r="BR30" s="1"/>
  <c r="BS30" s="1"/>
  <c r="BP31"/>
  <c r="BR31" s="1"/>
  <c r="BS31" s="1"/>
  <c r="BP32"/>
  <c r="BR32" s="1"/>
  <c r="BS32" s="1"/>
  <c r="BP33"/>
  <c r="BR33" s="1"/>
  <c r="BS33" s="1"/>
  <c r="BP34"/>
  <c r="BR34" s="1"/>
  <c r="BS34" s="1"/>
  <c r="BP35"/>
  <c r="BR35" s="1"/>
  <c r="BS35" s="1"/>
  <c r="BP36"/>
  <c r="BR36" s="1"/>
  <c r="BS36" s="1"/>
  <c r="BP37"/>
  <c r="BR37" s="1"/>
  <c r="BS37" s="1"/>
  <c r="BP38"/>
  <c r="BR38" s="1"/>
  <c r="BS38" s="1"/>
  <c r="BP39"/>
  <c r="BR39" s="1"/>
  <c r="BS39" s="1"/>
  <c r="BP40"/>
  <c r="BR40" s="1"/>
  <c r="BS40" s="1"/>
  <c r="BP41"/>
  <c r="BR41" s="1"/>
  <c r="BS41" s="1"/>
  <c r="BP42"/>
  <c r="BR42" s="1"/>
  <c r="BS42" s="1"/>
  <c r="BP43"/>
  <c r="BR43" s="1"/>
  <c r="BS43" s="1"/>
  <c r="BP44"/>
  <c r="BR44" s="1"/>
  <c r="BS44" s="1"/>
  <c r="BP45"/>
  <c r="BR45" s="1"/>
  <c r="BS45" s="1"/>
  <c r="BP46"/>
  <c r="BR46" s="1"/>
  <c r="BS46" s="1"/>
  <c r="BP47"/>
  <c r="BR47" s="1"/>
  <c r="BS47" s="1"/>
  <c r="BP48"/>
  <c r="BR48" s="1"/>
  <c r="BS48" s="1"/>
  <c r="BP49"/>
  <c r="BR49" s="1"/>
  <c r="BS49" s="1"/>
  <c r="BP50"/>
  <c r="BR50" s="1"/>
  <c r="BS50" s="1"/>
  <c r="BP51"/>
  <c r="BR51" s="1"/>
  <c r="BS51" s="1"/>
  <c r="BP52"/>
  <c r="BR52" s="1"/>
  <c r="BS52" s="1"/>
  <c r="BP53"/>
  <c r="BR53" s="1"/>
  <c r="BS53" s="1"/>
  <c r="BP54"/>
  <c r="BR54" s="1"/>
  <c r="BS54" s="1"/>
  <c r="BP55"/>
  <c r="BR55" s="1"/>
  <c r="BS55" s="1"/>
  <c r="BP56"/>
  <c r="BR56" s="1"/>
  <c r="BS56" s="1"/>
  <c r="BP57"/>
  <c r="BR57" s="1"/>
  <c r="BS57" s="1"/>
  <c r="BP58"/>
  <c r="BR58" s="1"/>
  <c r="BS58" s="1"/>
  <c r="BP59"/>
  <c r="BR59" s="1"/>
  <c r="BS59" s="1"/>
  <c r="BP60"/>
  <c r="BR60" s="1"/>
  <c r="BS60" s="1"/>
  <c r="BP61"/>
  <c r="BR61" s="1"/>
  <c r="BS61" s="1"/>
  <c r="BP62"/>
  <c r="BR62" s="1"/>
  <c r="BS62" s="1"/>
  <c r="BP63"/>
  <c r="BR63" s="1"/>
  <c r="BS63" s="1"/>
  <c r="BP64"/>
  <c r="BR64" s="1"/>
  <c r="BS64" s="1"/>
  <c r="BP65"/>
  <c r="BR65" s="1"/>
  <c r="BS65" s="1"/>
  <c r="BP66"/>
  <c r="BR66" s="1"/>
  <c r="BS66" s="1"/>
  <c r="BP67"/>
  <c r="BR67" s="1"/>
  <c r="BS67" s="1"/>
  <c r="BP27"/>
  <c r="BK28"/>
  <c r="BK29"/>
  <c r="BM29" s="1"/>
  <c r="BK30"/>
  <c r="BM30" s="1"/>
  <c r="BK31"/>
  <c r="BK32"/>
  <c r="BK33"/>
  <c r="BK34"/>
  <c r="BM34" s="1"/>
  <c r="BK35"/>
  <c r="BK36"/>
  <c r="BK37"/>
  <c r="BK38"/>
  <c r="BM38" s="1"/>
  <c r="BK39"/>
  <c r="BK40"/>
  <c r="BK41"/>
  <c r="BK42"/>
  <c r="BM42" s="1"/>
  <c r="BK43"/>
  <c r="BM43" s="1"/>
  <c r="BK44"/>
  <c r="BK45"/>
  <c r="BK46"/>
  <c r="BM46" s="1"/>
  <c r="BK47"/>
  <c r="BK48"/>
  <c r="BK49"/>
  <c r="BK50"/>
  <c r="BM50" s="1"/>
  <c r="BK51"/>
  <c r="BK52"/>
  <c r="BK53"/>
  <c r="BK54"/>
  <c r="BM54" s="1"/>
  <c r="BK55"/>
  <c r="BK56"/>
  <c r="BK57"/>
  <c r="BK58"/>
  <c r="BM58" s="1"/>
  <c r="BK59"/>
  <c r="BM59" s="1"/>
  <c r="BK60"/>
  <c r="BK61"/>
  <c r="BK62"/>
  <c r="BK63"/>
  <c r="BK64"/>
  <c r="BK65"/>
  <c r="BK66"/>
  <c r="BK67"/>
  <c r="BK68"/>
  <c r="BK69"/>
  <c r="BK70"/>
  <c r="BK71"/>
  <c r="BK72"/>
  <c r="BK73"/>
  <c r="BK74"/>
  <c r="BK75"/>
  <c r="BM75" s="1"/>
  <c r="BK76"/>
  <c r="BK77"/>
  <c r="BK78"/>
  <c r="BK79"/>
  <c r="BK80"/>
  <c r="BK81"/>
  <c r="BK82"/>
  <c r="BK83"/>
  <c r="BK84"/>
  <c r="BK85"/>
  <c r="BK86"/>
  <c r="BK87"/>
  <c r="BK88"/>
  <c r="BK89"/>
  <c r="BK90"/>
  <c r="BK91"/>
  <c r="BM91" s="1"/>
  <c r="BK92"/>
  <c r="BK93"/>
  <c r="BK94"/>
  <c r="BK95"/>
  <c r="BK96"/>
  <c r="BK97"/>
  <c r="BK98"/>
  <c r="BK99"/>
  <c r="BK100"/>
  <c r="BK101"/>
  <c r="BK102"/>
  <c r="BK103"/>
  <c r="BK104"/>
  <c r="BK105"/>
  <c r="BK106"/>
  <c r="BK107"/>
  <c r="BM107" s="1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M123" s="1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M139" s="1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M155" s="1"/>
  <c r="BK156"/>
  <c r="BK157"/>
  <c r="BK158"/>
  <c r="BK159"/>
  <c r="BM159" s="1"/>
  <c r="BK160"/>
  <c r="BK161"/>
  <c r="BK162"/>
  <c r="BK163"/>
  <c r="BM163" s="1"/>
  <c r="BK164"/>
  <c r="BK165"/>
  <c r="BK166"/>
  <c r="BK167"/>
  <c r="BM167" s="1"/>
  <c r="BK168"/>
  <c r="BK169"/>
  <c r="BK170"/>
  <c r="BK171"/>
  <c r="BM171" s="1"/>
  <c r="BK172"/>
  <c r="BK173"/>
  <c r="BK174"/>
  <c r="BK175"/>
  <c r="BM175" s="1"/>
  <c r="BK176"/>
  <c r="BK177"/>
  <c r="BK178"/>
  <c r="BK179"/>
  <c r="BM179" s="1"/>
  <c r="BK180"/>
  <c r="BK181"/>
  <c r="BK182"/>
  <c r="BK183"/>
  <c r="BM183" s="1"/>
  <c r="BK184"/>
  <c r="BK185"/>
  <c r="BK186"/>
  <c r="BK187"/>
  <c r="BM187" s="1"/>
  <c r="BK188"/>
  <c r="BK189"/>
  <c r="BK190"/>
  <c r="BK191"/>
  <c r="BM191" s="1"/>
  <c r="BK192"/>
  <c r="BK193"/>
  <c r="BK194"/>
  <c r="BK195"/>
  <c r="BM195" s="1"/>
  <c r="BK196"/>
  <c r="BK197"/>
  <c r="BK198"/>
  <c r="BK199"/>
  <c r="BM199" s="1"/>
  <c r="BK200"/>
  <c r="BK201"/>
  <c r="BK202"/>
  <c r="BK203"/>
  <c r="BM203" s="1"/>
  <c r="BK204"/>
  <c r="BK205"/>
  <c r="BK206"/>
  <c r="BK207"/>
  <c r="BM207" s="1"/>
  <c r="BK208"/>
  <c r="BK209"/>
  <c r="BK210"/>
  <c r="BK211"/>
  <c r="BM211" s="1"/>
  <c r="BK212"/>
  <c r="BK213"/>
  <c r="BK214"/>
  <c r="BK215"/>
  <c r="BM215" s="1"/>
  <c r="BK216"/>
  <c r="BK217"/>
  <c r="BK218"/>
  <c r="BK219"/>
  <c r="BM219" s="1"/>
  <c r="BK220"/>
  <c r="BK221"/>
  <c r="BK222"/>
  <c r="BK223"/>
  <c r="BK224"/>
  <c r="BK225"/>
  <c r="BK226"/>
  <c r="BK227"/>
  <c r="BK228"/>
  <c r="BK229"/>
  <c r="BK230"/>
  <c r="BK231"/>
  <c r="BK232"/>
  <c r="BK233"/>
  <c r="BK234"/>
  <c r="BK235"/>
  <c r="BK236"/>
  <c r="BK237"/>
  <c r="BK238"/>
  <c r="BK239"/>
  <c r="BK240"/>
  <c r="BK241"/>
  <c r="BK242"/>
  <c r="BK243"/>
  <c r="BK244"/>
  <c r="BK245"/>
  <c r="BK246"/>
  <c r="BK247"/>
  <c r="BK248"/>
  <c r="BK249"/>
  <c r="BK250"/>
  <c r="BK251"/>
  <c r="BK252"/>
  <c r="BK253"/>
  <c r="BK254"/>
  <c r="BK255"/>
  <c r="BK256"/>
  <c r="BK257"/>
  <c r="BK258"/>
  <c r="BK259"/>
  <c r="BK260"/>
  <c r="BK261"/>
  <c r="BK262"/>
  <c r="BK263"/>
  <c r="BK264"/>
  <c r="BK265"/>
  <c r="BK266"/>
  <c r="BK267"/>
  <c r="BK268"/>
  <c r="BK269"/>
  <c r="BK270"/>
  <c r="BK271"/>
  <c r="BK272"/>
  <c r="BK273"/>
  <c r="BK274"/>
  <c r="BK275"/>
  <c r="BK276"/>
  <c r="BK277"/>
  <c r="BK278"/>
  <c r="BK279"/>
  <c r="BK27"/>
  <c r="BB152"/>
  <c r="BB29"/>
  <c r="BC29" s="1"/>
  <c r="BB33"/>
  <c r="BB41"/>
  <c r="BB45"/>
  <c r="BB53"/>
  <c r="BB57"/>
  <c r="BB65"/>
  <c r="BB69"/>
  <c r="BB73"/>
  <c r="BB77"/>
  <c r="BB81"/>
  <c r="BB85"/>
  <c r="BB93"/>
  <c r="BB97"/>
  <c r="BB105"/>
  <c r="BB109"/>
  <c r="BB117"/>
  <c r="BB121"/>
  <c r="BB125"/>
  <c r="BB129"/>
  <c r="BB133"/>
  <c r="AZ163"/>
  <c r="BB163" s="1"/>
  <c r="BA163"/>
  <c r="AZ139"/>
  <c r="BB139" s="1"/>
  <c r="BC139" s="1"/>
  <c r="BA139"/>
  <c r="AZ140"/>
  <c r="BB140" s="1"/>
  <c r="BA140"/>
  <c r="AZ141"/>
  <c r="BB141" s="1"/>
  <c r="BC141" s="1"/>
  <c r="BA141"/>
  <c r="AZ142"/>
  <c r="BB142" s="1"/>
  <c r="BA142"/>
  <c r="AZ143"/>
  <c r="BB143" s="1"/>
  <c r="BC143" s="1"/>
  <c r="BA143"/>
  <c r="AZ144"/>
  <c r="BB144" s="1"/>
  <c r="BC144" s="1"/>
  <c r="BA144"/>
  <c r="AZ145"/>
  <c r="BB145" s="1"/>
  <c r="BC145" s="1"/>
  <c r="BA145"/>
  <c r="AZ146"/>
  <c r="BB146" s="1"/>
  <c r="BC146" s="1"/>
  <c r="BA146"/>
  <c r="AZ147"/>
  <c r="BB147" s="1"/>
  <c r="BC147" s="1"/>
  <c r="BA147"/>
  <c r="AZ148"/>
  <c r="BB148" s="1"/>
  <c r="BC148" s="1"/>
  <c r="BA148"/>
  <c r="AZ149"/>
  <c r="BB149" s="1"/>
  <c r="BC149" s="1"/>
  <c r="BA149"/>
  <c r="AZ150"/>
  <c r="BB150" s="1"/>
  <c r="BC150" s="1"/>
  <c r="BA150"/>
  <c r="AZ151"/>
  <c r="BB151" s="1"/>
  <c r="BC151" s="1"/>
  <c r="BA151"/>
  <c r="AZ152"/>
  <c r="BA152"/>
  <c r="AZ153"/>
  <c r="BB153" s="1"/>
  <c r="BC153" s="1"/>
  <c r="BA153"/>
  <c r="AZ154"/>
  <c r="BB154" s="1"/>
  <c r="BC154" s="1"/>
  <c r="BA154"/>
  <c r="AZ155"/>
  <c r="BB155" s="1"/>
  <c r="BC155" s="1"/>
  <c r="BA155"/>
  <c r="AZ156"/>
  <c r="BB156" s="1"/>
  <c r="BC156" s="1"/>
  <c r="BA156"/>
  <c r="AZ157"/>
  <c r="BB157" s="1"/>
  <c r="BC157" s="1"/>
  <c r="BA157"/>
  <c r="AZ158"/>
  <c r="BB158" s="1"/>
  <c r="BA158"/>
  <c r="AZ159"/>
  <c r="BB159" s="1"/>
  <c r="BC159" s="1"/>
  <c r="BA159"/>
  <c r="AZ160"/>
  <c r="BB160" s="1"/>
  <c r="BC160" s="1"/>
  <c r="BA160"/>
  <c r="AZ161"/>
  <c r="BB161" s="1"/>
  <c r="BC161" s="1"/>
  <c r="BA161"/>
  <c r="AZ162"/>
  <c r="BB162" s="1"/>
  <c r="BC162" s="1"/>
  <c r="BA162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27"/>
  <c r="AZ28"/>
  <c r="AZ29"/>
  <c r="AZ30"/>
  <c r="BB30" s="1"/>
  <c r="BC30" s="1"/>
  <c r="AZ31"/>
  <c r="BB31" s="1"/>
  <c r="AZ32"/>
  <c r="BB32" s="1"/>
  <c r="AZ33"/>
  <c r="AZ34"/>
  <c r="BB34" s="1"/>
  <c r="BC34" s="1"/>
  <c r="AZ35"/>
  <c r="BB35" s="1"/>
  <c r="AZ36"/>
  <c r="BB36" s="1"/>
  <c r="AZ37"/>
  <c r="BB37" s="1"/>
  <c r="AZ38"/>
  <c r="BB38" s="1"/>
  <c r="AZ39"/>
  <c r="BB39" s="1"/>
  <c r="AZ40"/>
  <c r="BB40" s="1"/>
  <c r="AZ41"/>
  <c r="AZ42"/>
  <c r="BB42" s="1"/>
  <c r="BC42" s="1"/>
  <c r="AZ43"/>
  <c r="BB43" s="1"/>
  <c r="AZ44"/>
  <c r="BB44" s="1"/>
  <c r="AZ45"/>
  <c r="AZ46"/>
  <c r="BB46" s="1"/>
  <c r="BC46" s="1"/>
  <c r="AZ47"/>
  <c r="BB47" s="1"/>
  <c r="AZ48"/>
  <c r="BB48" s="1"/>
  <c r="AZ49"/>
  <c r="BB49" s="1"/>
  <c r="AZ50"/>
  <c r="BB50" s="1"/>
  <c r="BC50" s="1"/>
  <c r="AZ51"/>
  <c r="BB51" s="1"/>
  <c r="AZ52"/>
  <c r="BB52" s="1"/>
  <c r="AZ53"/>
  <c r="AZ54"/>
  <c r="BB54" s="1"/>
  <c r="AZ55"/>
  <c r="BB55" s="1"/>
  <c r="AZ56"/>
  <c r="BB56" s="1"/>
  <c r="AZ57"/>
  <c r="AZ58"/>
  <c r="BB58" s="1"/>
  <c r="BC58" s="1"/>
  <c r="AZ59"/>
  <c r="BB59" s="1"/>
  <c r="AZ60"/>
  <c r="BB60" s="1"/>
  <c r="AZ61"/>
  <c r="BB61" s="1"/>
  <c r="AZ62"/>
  <c r="BB62" s="1"/>
  <c r="BC62" s="1"/>
  <c r="AZ63"/>
  <c r="BB63" s="1"/>
  <c r="AZ64"/>
  <c r="BB64" s="1"/>
  <c r="AZ65"/>
  <c r="AZ66"/>
  <c r="BB66" s="1"/>
  <c r="BC66" s="1"/>
  <c r="AZ67"/>
  <c r="BB67" s="1"/>
  <c r="AZ68"/>
  <c r="BB68" s="1"/>
  <c r="AZ69"/>
  <c r="AZ70"/>
  <c r="BB70" s="1"/>
  <c r="AZ71"/>
  <c r="BB71" s="1"/>
  <c r="AZ72"/>
  <c r="BB72" s="1"/>
  <c r="AZ73"/>
  <c r="AZ74"/>
  <c r="BB74" s="1"/>
  <c r="BC74" s="1"/>
  <c r="AZ75"/>
  <c r="BB75" s="1"/>
  <c r="BC75" s="1"/>
  <c r="AZ76"/>
  <c r="BB76" s="1"/>
  <c r="AZ77"/>
  <c r="AZ78"/>
  <c r="BB78" s="1"/>
  <c r="AZ79"/>
  <c r="BB79" s="1"/>
  <c r="BC79" s="1"/>
  <c r="AZ80"/>
  <c r="BB80" s="1"/>
  <c r="AZ81"/>
  <c r="AZ82"/>
  <c r="BB82" s="1"/>
  <c r="BC82" s="1"/>
  <c r="AZ83"/>
  <c r="BB83" s="1"/>
  <c r="AZ84"/>
  <c r="BB84" s="1"/>
  <c r="AZ85"/>
  <c r="AZ86"/>
  <c r="BB86" s="1"/>
  <c r="AZ87"/>
  <c r="BB87" s="1"/>
  <c r="BC87" s="1"/>
  <c r="AZ88"/>
  <c r="BB88" s="1"/>
  <c r="AZ89"/>
  <c r="BB89" s="1"/>
  <c r="AZ90"/>
  <c r="BB90" s="1"/>
  <c r="BC90" s="1"/>
  <c r="AZ91"/>
  <c r="BB91" s="1"/>
  <c r="BC91" s="1"/>
  <c r="AZ92"/>
  <c r="BB92" s="1"/>
  <c r="AZ93"/>
  <c r="AZ94"/>
  <c r="BB94" s="1"/>
  <c r="AZ95"/>
  <c r="BB95" s="1"/>
  <c r="AZ96"/>
  <c r="BB96" s="1"/>
  <c r="AZ97"/>
  <c r="AZ98"/>
  <c r="BB98" s="1"/>
  <c r="AZ99"/>
  <c r="BB99" s="1"/>
  <c r="AZ100"/>
  <c r="BB100" s="1"/>
  <c r="AZ101"/>
  <c r="BB101" s="1"/>
  <c r="AZ102"/>
  <c r="BB102" s="1"/>
  <c r="AZ103"/>
  <c r="BB103" s="1"/>
  <c r="AZ104"/>
  <c r="BB104" s="1"/>
  <c r="AZ105"/>
  <c r="AZ106"/>
  <c r="BB106" s="1"/>
  <c r="AZ107"/>
  <c r="BB107" s="1"/>
  <c r="AZ108"/>
  <c r="BB108" s="1"/>
  <c r="AZ109"/>
  <c r="AZ110"/>
  <c r="BB110" s="1"/>
  <c r="AZ111"/>
  <c r="BB111" s="1"/>
  <c r="AZ112"/>
  <c r="BB112" s="1"/>
  <c r="AZ113"/>
  <c r="BB113" s="1"/>
  <c r="AZ114"/>
  <c r="BB114" s="1"/>
  <c r="AZ115"/>
  <c r="BB115" s="1"/>
  <c r="AZ116"/>
  <c r="BB116" s="1"/>
  <c r="AZ117"/>
  <c r="AZ118"/>
  <c r="BB118" s="1"/>
  <c r="AZ119"/>
  <c r="BB119" s="1"/>
  <c r="AZ120"/>
  <c r="BB120" s="1"/>
  <c r="AZ121"/>
  <c r="AZ122"/>
  <c r="BB122" s="1"/>
  <c r="AZ123"/>
  <c r="BB123" s="1"/>
  <c r="AZ124"/>
  <c r="BB124" s="1"/>
  <c r="AZ125"/>
  <c r="AZ126"/>
  <c r="BB126" s="1"/>
  <c r="AZ127"/>
  <c r="BB127" s="1"/>
  <c r="AZ128"/>
  <c r="BB128" s="1"/>
  <c r="AZ129"/>
  <c r="AZ130"/>
  <c r="BB130" s="1"/>
  <c r="AZ131"/>
  <c r="BB131" s="1"/>
  <c r="AZ132"/>
  <c r="BB132" s="1"/>
  <c r="AZ133"/>
  <c r="AZ134"/>
  <c r="BB134" s="1"/>
  <c r="AZ135"/>
  <c r="BB135" s="1"/>
  <c r="AZ136"/>
  <c r="BB136" s="1"/>
  <c r="AZ137"/>
  <c r="BB137" s="1"/>
  <c r="AZ138"/>
  <c r="BB138" s="1"/>
  <c r="AZ27"/>
  <c r="AW50"/>
  <c r="AW82"/>
  <c r="AW88"/>
  <c r="AW92"/>
  <c r="AW98"/>
  <c r="AW114"/>
  <c r="AW120"/>
  <c r="AW124"/>
  <c r="AV29"/>
  <c r="AU139"/>
  <c r="AW139" s="1"/>
  <c r="AU29"/>
  <c r="AW29" s="1"/>
  <c r="AU30"/>
  <c r="AW30" s="1"/>
  <c r="AU31"/>
  <c r="AW31" s="1"/>
  <c r="AU32"/>
  <c r="AW32" s="1"/>
  <c r="AU33"/>
  <c r="AW33" s="1"/>
  <c r="AU34"/>
  <c r="AW34" s="1"/>
  <c r="AU35"/>
  <c r="AW35" s="1"/>
  <c r="AU36"/>
  <c r="AW36" s="1"/>
  <c r="AU37"/>
  <c r="AW37" s="1"/>
  <c r="AU38"/>
  <c r="AW38" s="1"/>
  <c r="AU39"/>
  <c r="AW39" s="1"/>
  <c r="AU40"/>
  <c r="AW40" s="1"/>
  <c r="AU41"/>
  <c r="AW41" s="1"/>
  <c r="AU42"/>
  <c r="AW42" s="1"/>
  <c r="AU43"/>
  <c r="AW43" s="1"/>
  <c r="AU44"/>
  <c r="AW44" s="1"/>
  <c r="AU45"/>
  <c r="AW45" s="1"/>
  <c r="AU46"/>
  <c r="AW46" s="1"/>
  <c r="AU47"/>
  <c r="AW47" s="1"/>
  <c r="AU48"/>
  <c r="AW48" s="1"/>
  <c r="AU49"/>
  <c r="AW49" s="1"/>
  <c r="AU50"/>
  <c r="AU51"/>
  <c r="AW51" s="1"/>
  <c r="AU52"/>
  <c r="AW52" s="1"/>
  <c r="AU53"/>
  <c r="AW53" s="1"/>
  <c r="AU54"/>
  <c r="AW54" s="1"/>
  <c r="AU55"/>
  <c r="AW55" s="1"/>
  <c r="AU56"/>
  <c r="AW56" s="1"/>
  <c r="AU57"/>
  <c r="AW57" s="1"/>
  <c r="AU58"/>
  <c r="AW58" s="1"/>
  <c r="AU59"/>
  <c r="AW59" s="1"/>
  <c r="AU60"/>
  <c r="AW60" s="1"/>
  <c r="AU61"/>
  <c r="AW61" s="1"/>
  <c r="AU62"/>
  <c r="AW62" s="1"/>
  <c r="AU63"/>
  <c r="AW63" s="1"/>
  <c r="AU64"/>
  <c r="AW64" s="1"/>
  <c r="AU65"/>
  <c r="AW65" s="1"/>
  <c r="AU66"/>
  <c r="AW66" s="1"/>
  <c r="AU67"/>
  <c r="AW67" s="1"/>
  <c r="AU68"/>
  <c r="AW68" s="1"/>
  <c r="AU69"/>
  <c r="AW69" s="1"/>
  <c r="AU70"/>
  <c r="AW70" s="1"/>
  <c r="AU71"/>
  <c r="AW71" s="1"/>
  <c r="AU72"/>
  <c r="AW72" s="1"/>
  <c r="AU73"/>
  <c r="AW73" s="1"/>
  <c r="AU74"/>
  <c r="AW74" s="1"/>
  <c r="AU75"/>
  <c r="AW75" s="1"/>
  <c r="AU76"/>
  <c r="AW76" s="1"/>
  <c r="AU77"/>
  <c r="AW77" s="1"/>
  <c r="AU78"/>
  <c r="AW78" s="1"/>
  <c r="AU79"/>
  <c r="AW79" s="1"/>
  <c r="AU80"/>
  <c r="AW80" s="1"/>
  <c r="AU81"/>
  <c r="AW81" s="1"/>
  <c r="AU82"/>
  <c r="AU83"/>
  <c r="AW83" s="1"/>
  <c r="AU84"/>
  <c r="AW84" s="1"/>
  <c r="AU85"/>
  <c r="AW85" s="1"/>
  <c r="AU86"/>
  <c r="AW86" s="1"/>
  <c r="AU87"/>
  <c r="AW87" s="1"/>
  <c r="AU88"/>
  <c r="AU89"/>
  <c r="AW89" s="1"/>
  <c r="AU90"/>
  <c r="AW90" s="1"/>
  <c r="AU91"/>
  <c r="AW91" s="1"/>
  <c r="AU92"/>
  <c r="AU93"/>
  <c r="AW93" s="1"/>
  <c r="AU94"/>
  <c r="AW94" s="1"/>
  <c r="AU95"/>
  <c r="AW95" s="1"/>
  <c r="AU96"/>
  <c r="AW96" s="1"/>
  <c r="AU97"/>
  <c r="AW97" s="1"/>
  <c r="AU98"/>
  <c r="AU99"/>
  <c r="AW99" s="1"/>
  <c r="AU100"/>
  <c r="AW100" s="1"/>
  <c r="AU101"/>
  <c r="AW101" s="1"/>
  <c r="AU102"/>
  <c r="AW102" s="1"/>
  <c r="AU103"/>
  <c r="AW103" s="1"/>
  <c r="AU104"/>
  <c r="AW104" s="1"/>
  <c r="AU105"/>
  <c r="AW105" s="1"/>
  <c r="AU106"/>
  <c r="AW106" s="1"/>
  <c r="AU107"/>
  <c r="AW107" s="1"/>
  <c r="AU108"/>
  <c r="AW108" s="1"/>
  <c r="AU109"/>
  <c r="AW109" s="1"/>
  <c r="AU110"/>
  <c r="AW110" s="1"/>
  <c r="AU111"/>
  <c r="AW111" s="1"/>
  <c r="AU112"/>
  <c r="AW112" s="1"/>
  <c r="AU113"/>
  <c r="AW113" s="1"/>
  <c r="AU114"/>
  <c r="AU115"/>
  <c r="AW115" s="1"/>
  <c r="AU116"/>
  <c r="AW116" s="1"/>
  <c r="AU117"/>
  <c r="AW117" s="1"/>
  <c r="AU118"/>
  <c r="AW118" s="1"/>
  <c r="AU119"/>
  <c r="AW119" s="1"/>
  <c r="AU120"/>
  <c r="AU121"/>
  <c r="AW121" s="1"/>
  <c r="AU122"/>
  <c r="AW122" s="1"/>
  <c r="AU123"/>
  <c r="AW123" s="1"/>
  <c r="AU124"/>
  <c r="AU125"/>
  <c r="AW125" s="1"/>
  <c r="AU126"/>
  <c r="AW126" s="1"/>
  <c r="AU127"/>
  <c r="AW127" s="1"/>
  <c r="AU128"/>
  <c r="AW128" s="1"/>
  <c r="AU129"/>
  <c r="AW129" s="1"/>
  <c r="AU130"/>
  <c r="AW130" s="1"/>
  <c r="AU131"/>
  <c r="AW131" s="1"/>
  <c r="AU132"/>
  <c r="AW132" s="1"/>
  <c r="AU133"/>
  <c r="AW133" s="1"/>
  <c r="AU134"/>
  <c r="AW134" s="1"/>
  <c r="AU135"/>
  <c r="AW135" s="1"/>
  <c r="AU136"/>
  <c r="AW136" s="1"/>
  <c r="AU137"/>
  <c r="AW137" s="1"/>
  <c r="AU138"/>
  <c r="AW138" s="1"/>
  <c r="AU28"/>
  <c r="AU27"/>
  <c r="AP30"/>
  <c r="AP31"/>
  <c r="AR31" s="1"/>
  <c r="AP32"/>
  <c r="AR32" s="1"/>
  <c r="AP33"/>
  <c r="AR33" s="1"/>
  <c r="AP34"/>
  <c r="AP35"/>
  <c r="AP36"/>
  <c r="AP37"/>
  <c r="AR37" s="1"/>
  <c r="AP38"/>
  <c r="AR38" s="1"/>
  <c r="AP39"/>
  <c r="AR39" s="1"/>
  <c r="AP40"/>
  <c r="AP41"/>
  <c r="AR41" s="1"/>
  <c r="AP42"/>
  <c r="AP43"/>
  <c r="AR43" s="1"/>
  <c r="AP44"/>
  <c r="AP45"/>
  <c r="AR45" s="1"/>
  <c r="AP46"/>
  <c r="AR46" s="1"/>
  <c r="AP47"/>
  <c r="AR47" s="1"/>
  <c r="AP48"/>
  <c r="AP49"/>
  <c r="AR49" s="1"/>
  <c r="AP50"/>
  <c r="AP51"/>
  <c r="AR51" s="1"/>
  <c r="AP52"/>
  <c r="AP53"/>
  <c r="AR53" s="1"/>
  <c r="AP54"/>
  <c r="AR54" s="1"/>
  <c r="AP55"/>
  <c r="AR55" s="1"/>
  <c r="AP56"/>
  <c r="AP57"/>
  <c r="AR57" s="1"/>
  <c r="AP58"/>
  <c r="AP59"/>
  <c r="AR59" s="1"/>
  <c r="AP60"/>
  <c r="AP61"/>
  <c r="AR61" s="1"/>
  <c r="AP62"/>
  <c r="AR62" s="1"/>
  <c r="AP63"/>
  <c r="AR63" s="1"/>
  <c r="AP64"/>
  <c r="AP65"/>
  <c r="AR65" s="1"/>
  <c r="AP66"/>
  <c r="AP67"/>
  <c r="AR67" s="1"/>
  <c r="AP68"/>
  <c r="AR68" s="1"/>
  <c r="AP69"/>
  <c r="AR69" s="1"/>
  <c r="AP70"/>
  <c r="AP71"/>
  <c r="AR71" s="1"/>
  <c r="AP72"/>
  <c r="AP73"/>
  <c r="AR73" s="1"/>
  <c r="AP74"/>
  <c r="AP75"/>
  <c r="AR75" s="1"/>
  <c r="AP76"/>
  <c r="AR76" s="1"/>
  <c r="AP77"/>
  <c r="AR77" s="1"/>
  <c r="AP78"/>
  <c r="AP79"/>
  <c r="AR79" s="1"/>
  <c r="AP80"/>
  <c r="AP81"/>
  <c r="AR81" s="1"/>
  <c r="AP82"/>
  <c r="AP83"/>
  <c r="AR83" s="1"/>
  <c r="AP84"/>
  <c r="AR84" s="1"/>
  <c r="AP85"/>
  <c r="AR85" s="1"/>
  <c r="AP86"/>
  <c r="AP87"/>
  <c r="AR87" s="1"/>
  <c r="AP88"/>
  <c r="AP89"/>
  <c r="AR89" s="1"/>
  <c r="AP90"/>
  <c r="AP91"/>
  <c r="AR91" s="1"/>
  <c r="AP92"/>
  <c r="AR92" s="1"/>
  <c r="AP93"/>
  <c r="AR93" s="1"/>
  <c r="AP94"/>
  <c r="AP95"/>
  <c r="AR95" s="1"/>
  <c r="AP96"/>
  <c r="AP97"/>
  <c r="AR97" s="1"/>
  <c r="AP98"/>
  <c r="AP99"/>
  <c r="AR99" s="1"/>
  <c r="AP100"/>
  <c r="AP101"/>
  <c r="AR101" s="1"/>
  <c r="AP102"/>
  <c r="AP103"/>
  <c r="AR103" s="1"/>
  <c r="AP104"/>
  <c r="AP105"/>
  <c r="AR105" s="1"/>
  <c r="AP106"/>
  <c r="AR106" s="1"/>
  <c r="AP107"/>
  <c r="AR107" s="1"/>
  <c r="AP108"/>
  <c r="AP109"/>
  <c r="AR109" s="1"/>
  <c r="AP110"/>
  <c r="AP111"/>
  <c r="AR111" s="1"/>
  <c r="AP112"/>
  <c r="AP113"/>
  <c r="AR113" s="1"/>
  <c r="AP114"/>
  <c r="AR114" s="1"/>
  <c r="AP115"/>
  <c r="AR115" s="1"/>
  <c r="AP116"/>
  <c r="AP117"/>
  <c r="AR117" s="1"/>
  <c r="AP118"/>
  <c r="AP119"/>
  <c r="AR119" s="1"/>
  <c r="AP120"/>
  <c r="AP121"/>
  <c r="AR121" s="1"/>
  <c r="AP122"/>
  <c r="AR122" s="1"/>
  <c r="AP123"/>
  <c r="AR123" s="1"/>
  <c r="AP124"/>
  <c r="AP125"/>
  <c r="AR125" s="1"/>
  <c r="AP126"/>
  <c r="AP127"/>
  <c r="AR127" s="1"/>
  <c r="AP128"/>
  <c r="AP129"/>
  <c r="AR129" s="1"/>
  <c r="AP130"/>
  <c r="AR130" s="1"/>
  <c r="AP131"/>
  <c r="AR131" s="1"/>
  <c r="AP132"/>
  <c r="AP133"/>
  <c r="AR133" s="1"/>
  <c r="AP134"/>
  <c r="AP135"/>
  <c r="AR135" s="1"/>
  <c r="AP136"/>
  <c r="AR136" s="1"/>
  <c r="AP137"/>
  <c r="AR137" s="1"/>
  <c r="AP138"/>
  <c r="AP139"/>
  <c r="AR139" s="1"/>
  <c r="AP29"/>
  <c r="AR29" s="1"/>
  <c r="AP28"/>
  <c r="AP27"/>
  <c r="BQ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L118"/>
  <c r="BL119"/>
  <c r="BL120"/>
  <c r="BL121"/>
  <c r="BL122"/>
  <c r="BL123"/>
  <c r="BL124"/>
  <c r="BL125"/>
  <c r="BL126"/>
  <c r="BL127"/>
  <c r="BL128"/>
  <c r="BL129"/>
  <c r="BL130"/>
  <c r="BL131"/>
  <c r="BL132"/>
  <c r="BL133"/>
  <c r="BL134"/>
  <c r="BL135"/>
  <c r="BL136"/>
  <c r="BL137"/>
  <c r="BL138"/>
  <c r="BL139"/>
  <c r="BL140"/>
  <c r="BL141"/>
  <c r="BL142"/>
  <c r="BL143"/>
  <c r="BL144"/>
  <c r="BL145"/>
  <c r="BL146"/>
  <c r="BL147"/>
  <c r="BL148"/>
  <c r="BL149"/>
  <c r="BL150"/>
  <c r="BL151"/>
  <c r="BL152"/>
  <c r="BL153"/>
  <c r="BL154"/>
  <c r="BL155"/>
  <c r="BL156"/>
  <c r="BL157"/>
  <c r="BL158"/>
  <c r="BL159"/>
  <c r="BL160"/>
  <c r="BL161"/>
  <c r="BL162"/>
  <c r="BL163"/>
  <c r="BL164"/>
  <c r="BL165"/>
  <c r="BL166"/>
  <c r="BL167"/>
  <c r="BL168"/>
  <c r="BL169"/>
  <c r="BL170"/>
  <c r="BL171"/>
  <c r="BL172"/>
  <c r="BL173"/>
  <c r="BL174"/>
  <c r="BL175"/>
  <c r="BL176"/>
  <c r="BL177"/>
  <c r="BL178"/>
  <c r="BL179"/>
  <c r="BL180"/>
  <c r="BL181"/>
  <c r="BL182"/>
  <c r="BL183"/>
  <c r="BL184"/>
  <c r="BL185"/>
  <c r="BL186"/>
  <c r="BL187"/>
  <c r="BL188"/>
  <c r="BL189"/>
  <c r="BL190"/>
  <c r="BL191"/>
  <c r="BL192"/>
  <c r="BL193"/>
  <c r="BL194"/>
  <c r="BL195"/>
  <c r="BL196"/>
  <c r="BL197"/>
  <c r="BL198"/>
  <c r="BL199"/>
  <c r="BL200"/>
  <c r="BL201"/>
  <c r="BL202"/>
  <c r="BL203"/>
  <c r="BL204"/>
  <c r="BL205"/>
  <c r="BL206"/>
  <c r="BL207"/>
  <c r="BL208"/>
  <c r="BL209"/>
  <c r="BL210"/>
  <c r="BL211"/>
  <c r="BL212"/>
  <c r="BL213"/>
  <c r="BL214"/>
  <c r="BL215"/>
  <c r="BL216"/>
  <c r="BL217"/>
  <c r="BL218"/>
  <c r="BL219"/>
  <c r="BL220"/>
  <c r="BL221"/>
  <c r="BL222"/>
  <c r="BL223"/>
  <c r="BL224"/>
  <c r="BL225"/>
  <c r="BL226"/>
  <c r="BL227"/>
  <c r="BL228"/>
  <c r="BL229"/>
  <c r="BL230"/>
  <c r="BL231"/>
  <c r="BL232"/>
  <c r="BL233"/>
  <c r="BL234"/>
  <c r="BL235"/>
  <c r="BL236"/>
  <c r="BL237"/>
  <c r="BL238"/>
  <c r="BL239"/>
  <c r="BL240"/>
  <c r="BL241"/>
  <c r="BL242"/>
  <c r="BL243"/>
  <c r="BL244"/>
  <c r="BL245"/>
  <c r="BL246"/>
  <c r="BL247"/>
  <c r="BL248"/>
  <c r="BL249"/>
  <c r="BL250"/>
  <c r="BL251"/>
  <c r="BL252"/>
  <c r="BL253"/>
  <c r="BL254"/>
  <c r="BL255"/>
  <c r="BL256"/>
  <c r="BL257"/>
  <c r="BL258"/>
  <c r="BL259"/>
  <c r="BL260"/>
  <c r="BL261"/>
  <c r="BL262"/>
  <c r="BL263"/>
  <c r="BL264"/>
  <c r="BL265"/>
  <c r="BL266"/>
  <c r="BL267"/>
  <c r="BL268"/>
  <c r="BL269"/>
  <c r="BL270"/>
  <c r="BL271"/>
  <c r="BL272"/>
  <c r="BL273"/>
  <c r="BL274"/>
  <c r="BL275"/>
  <c r="BL276"/>
  <c r="BL277"/>
  <c r="BL278"/>
  <c r="BL279"/>
  <c r="BL27"/>
  <c r="BM31"/>
  <c r="BM32"/>
  <c r="BM33"/>
  <c r="BN33" s="1"/>
  <c r="BM35"/>
  <c r="BM36"/>
  <c r="BM37"/>
  <c r="BM39"/>
  <c r="BN39" s="1"/>
  <c r="BM40"/>
  <c r="BN40" s="1"/>
  <c r="BM41"/>
  <c r="BN41" s="1"/>
  <c r="BM44"/>
  <c r="BN44" s="1"/>
  <c r="BM45"/>
  <c r="BM47"/>
  <c r="BM48"/>
  <c r="BM49"/>
  <c r="BN49" s="1"/>
  <c r="BM51"/>
  <c r="BM52"/>
  <c r="BM53"/>
  <c r="BM55"/>
  <c r="BN55" s="1"/>
  <c r="BM56"/>
  <c r="BN56" s="1"/>
  <c r="BM57"/>
  <c r="BN57" s="1"/>
  <c r="BM60"/>
  <c r="BN60" s="1"/>
  <c r="BM61"/>
  <c r="BM62"/>
  <c r="BM64"/>
  <c r="BN64" s="1"/>
  <c r="BM65"/>
  <c r="BM66"/>
  <c r="BM68"/>
  <c r="BN68" s="1"/>
  <c r="BM69"/>
  <c r="BM70"/>
  <c r="BM72"/>
  <c r="BN72" s="1"/>
  <c r="BM73"/>
  <c r="BM74"/>
  <c r="BM76"/>
  <c r="BN76" s="1"/>
  <c r="BM77"/>
  <c r="BM78"/>
  <c r="BM80"/>
  <c r="BN80" s="1"/>
  <c r="BM81"/>
  <c r="BM82"/>
  <c r="BM84"/>
  <c r="BN84" s="1"/>
  <c r="BM85"/>
  <c r="BM86"/>
  <c r="BM88"/>
  <c r="BN88" s="1"/>
  <c r="BM89"/>
  <c r="BM90"/>
  <c r="BM92"/>
  <c r="BN92" s="1"/>
  <c r="BM93"/>
  <c r="BM94"/>
  <c r="BM96"/>
  <c r="BN96" s="1"/>
  <c r="BM97"/>
  <c r="BM98"/>
  <c r="BM100"/>
  <c r="BN100" s="1"/>
  <c r="BM101"/>
  <c r="BM102"/>
  <c r="BM104"/>
  <c r="BN104" s="1"/>
  <c r="BM105"/>
  <c r="BM106"/>
  <c r="BM108"/>
  <c r="BN108" s="1"/>
  <c r="BM109"/>
  <c r="BM110"/>
  <c r="BM112"/>
  <c r="BN112" s="1"/>
  <c r="BM113"/>
  <c r="BM114"/>
  <c r="BM116"/>
  <c r="BN116" s="1"/>
  <c r="BM117"/>
  <c r="BM118"/>
  <c r="BM120"/>
  <c r="BN120" s="1"/>
  <c r="BM121"/>
  <c r="BM122"/>
  <c r="BM124"/>
  <c r="BN124" s="1"/>
  <c r="BM125"/>
  <c r="BM126"/>
  <c r="BM128"/>
  <c r="BN128" s="1"/>
  <c r="BM129"/>
  <c r="BM130"/>
  <c r="BM132"/>
  <c r="BN132" s="1"/>
  <c r="BM133"/>
  <c r="BM134"/>
  <c r="BM136"/>
  <c r="BN136" s="1"/>
  <c r="BM137"/>
  <c r="BM138"/>
  <c r="BN138" s="1"/>
  <c r="BM140"/>
  <c r="BN140" s="1"/>
  <c r="BM141"/>
  <c r="BM142"/>
  <c r="BN142" s="1"/>
  <c r="BM144"/>
  <c r="BN144" s="1"/>
  <c r="BM145"/>
  <c r="BM146"/>
  <c r="BN146" s="1"/>
  <c r="BM148"/>
  <c r="BN148" s="1"/>
  <c r="BM149"/>
  <c r="BM150"/>
  <c r="BN150" s="1"/>
  <c r="BM152"/>
  <c r="BN152" s="1"/>
  <c r="BM153"/>
  <c r="BM154"/>
  <c r="BN154" s="1"/>
  <c r="BM156"/>
  <c r="BN156" s="1"/>
  <c r="BM157"/>
  <c r="BM158"/>
  <c r="BN158" s="1"/>
  <c r="BM160"/>
  <c r="BN160" s="1"/>
  <c r="BM161"/>
  <c r="BM162"/>
  <c r="BN162" s="1"/>
  <c r="BM164"/>
  <c r="BN164" s="1"/>
  <c r="BM165"/>
  <c r="BM166"/>
  <c r="BN166" s="1"/>
  <c r="BM168"/>
  <c r="BN168" s="1"/>
  <c r="BM169"/>
  <c r="BM170"/>
  <c r="BN170" s="1"/>
  <c r="BM172"/>
  <c r="BN172" s="1"/>
  <c r="BM173"/>
  <c r="BM174"/>
  <c r="BN174" s="1"/>
  <c r="BM176"/>
  <c r="BN176" s="1"/>
  <c r="BM177"/>
  <c r="BM178"/>
  <c r="BN178" s="1"/>
  <c r="BM180"/>
  <c r="BN180" s="1"/>
  <c r="BM181"/>
  <c r="BN181" s="1"/>
  <c r="BM182"/>
  <c r="BN182" s="1"/>
  <c r="BM184"/>
  <c r="BN184" s="1"/>
  <c r="BM185"/>
  <c r="BN185" s="1"/>
  <c r="BM186"/>
  <c r="BN186" s="1"/>
  <c r="BM188"/>
  <c r="BN188" s="1"/>
  <c r="BM189"/>
  <c r="BN189" s="1"/>
  <c r="BM190"/>
  <c r="BN190" s="1"/>
  <c r="BM192"/>
  <c r="BN192" s="1"/>
  <c r="BM193"/>
  <c r="BN193" s="1"/>
  <c r="BM194"/>
  <c r="BN194" s="1"/>
  <c r="BM196"/>
  <c r="BN196" s="1"/>
  <c r="BM197"/>
  <c r="BN197" s="1"/>
  <c r="BM198"/>
  <c r="BN198" s="1"/>
  <c r="BM200"/>
  <c r="BN200" s="1"/>
  <c r="BM201"/>
  <c r="BN201" s="1"/>
  <c r="BM202"/>
  <c r="BN202" s="1"/>
  <c r="BM204"/>
  <c r="BN204" s="1"/>
  <c r="BM205"/>
  <c r="BN205" s="1"/>
  <c r="BM206"/>
  <c r="BN206" s="1"/>
  <c r="BM208"/>
  <c r="BN208" s="1"/>
  <c r="BM209"/>
  <c r="BN209" s="1"/>
  <c r="BM210"/>
  <c r="BN210" s="1"/>
  <c r="BM212"/>
  <c r="BN212" s="1"/>
  <c r="BM213"/>
  <c r="BN213" s="1"/>
  <c r="BM214"/>
  <c r="BN214" s="1"/>
  <c r="BM216"/>
  <c r="BN216" s="1"/>
  <c r="BM217"/>
  <c r="BN217" s="1"/>
  <c r="BM218"/>
  <c r="BN218" s="1"/>
  <c r="BV30"/>
  <c r="BW30" s="1"/>
  <c r="BV31"/>
  <c r="BW31" s="1"/>
  <c r="BV32"/>
  <c r="BW32" s="1"/>
  <c r="BV33"/>
  <c r="BW33" s="1"/>
  <c r="BV34"/>
  <c r="BW34" s="1"/>
  <c r="BX33" s="1"/>
  <c r="BV35"/>
  <c r="BW35" s="1"/>
  <c r="BV36"/>
  <c r="BW36" s="1"/>
  <c r="BV37"/>
  <c r="BW37" s="1"/>
  <c r="BV38"/>
  <c r="BW38" s="1"/>
  <c r="BX37" s="1"/>
  <c r="BV39"/>
  <c r="BW39" s="1"/>
  <c r="BV40"/>
  <c r="BW40" s="1"/>
  <c r="BV41"/>
  <c r="BW41" s="1"/>
  <c r="BV42"/>
  <c r="BW42" s="1"/>
  <c r="BX41" s="1"/>
  <c r="BV43"/>
  <c r="BW43" s="1"/>
  <c r="BV44"/>
  <c r="BW44" s="1"/>
  <c r="BV45"/>
  <c r="BW45" s="1"/>
  <c r="BV46"/>
  <c r="BW46" s="1"/>
  <c r="BX45" s="1"/>
  <c r="BV47"/>
  <c r="BW47" s="1"/>
  <c r="BV48"/>
  <c r="BW48" s="1"/>
  <c r="BV49"/>
  <c r="BW49" s="1"/>
  <c r="BV50"/>
  <c r="BW50" s="1"/>
  <c r="BX49" s="1"/>
  <c r="BV51"/>
  <c r="BW51" s="1"/>
  <c r="BV52"/>
  <c r="BW52" s="1"/>
  <c r="BV53"/>
  <c r="BW53" s="1"/>
  <c r="BV54"/>
  <c r="BW54" s="1"/>
  <c r="BX53" s="1"/>
  <c r="BV55"/>
  <c r="BW55" s="1"/>
  <c r="BV56"/>
  <c r="BW56" s="1"/>
  <c r="BV57"/>
  <c r="BW57" s="1"/>
  <c r="BV58"/>
  <c r="BW58" s="1"/>
  <c r="BX57" s="1"/>
  <c r="BV59"/>
  <c r="BW59" s="1"/>
  <c r="BV60"/>
  <c r="BW60" s="1"/>
  <c r="BV61"/>
  <c r="BW61" s="1"/>
  <c r="BV62"/>
  <c r="BW62" s="1"/>
  <c r="BX61" s="1"/>
  <c r="BV63"/>
  <c r="BW63" s="1"/>
  <c r="BV64"/>
  <c r="BW64" s="1"/>
  <c r="BV65"/>
  <c r="BW65" s="1"/>
  <c r="BV66"/>
  <c r="BW66" s="1"/>
  <c r="BX65" s="1"/>
  <c r="BV67"/>
  <c r="BW67" s="1"/>
  <c r="BV68"/>
  <c r="BW68" s="1"/>
  <c r="BV69"/>
  <c r="BW69" s="1"/>
  <c r="BV70"/>
  <c r="BW70" s="1"/>
  <c r="BX69" s="1"/>
  <c r="BV71"/>
  <c r="BW71" s="1"/>
  <c r="BV72"/>
  <c r="BW72" s="1"/>
  <c r="BV73"/>
  <c r="BW73" s="1"/>
  <c r="BV74"/>
  <c r="BW74" s="1"/>
  <c r="BX73" s="1"/>
  <c r="BV75"/>
  <c r="BW75" s="1"/>
  <c r="BV76"/>
  <c r="BW76" s="1"/>
  <c r="BV77"/>
  <c r="BW77" s="1"/>
  <c r="BV78"/>
  <c r="BW78" s="1"/>
  <c r="BX77" s="1"/>
  <c r="BV79"/>
  <c r="BW79" s="1"/>
  <c r="BV80"/>
  <c r="BW80" s="1"/>
  <c r="BV81"/>
  <c r="BW81" s="1"/>
  <c r="BV82"/>
  <c r="BW82" s="1"/>
  <c r="BX81" s="1"/>
  <c r="BV83"/>
  <c r="BW83" s="1"/>
  <c r="BV84"/>
  <c r="BW84" s="1"/>
  <c r="BV85"/>
  <c r="BW85" s="1"/>
  <c r="BV86"/>
  <c r="BW86" s="1"/>
  <c r="BX85" s="1"/>
  <c r="BV87"/>
  <c r="BW87" s="1"/>
  <c r="BV88"/>
  <c r="BW88" s="1"/>
  <c r="BV89"/>
  <c r="BW89" s="1"/>
  <c r="BV90"/>
  <c r="BW90" s="1"/>
  <c r="BX89" s="1"/>
  <c r="BV91"/>
  <c r="BW91" s="1"/>
  <c r="BV92"/>
  <c r="BW92" s="1"/>
  <c r="BV93"/>
  <c r="BW93" s="1"/>
  <c r="BV94"/>
  <c r="BW94" s="1"/>
  <c r="BX93" s="1"/>
  <c r="BV95"/>
  <c r="BW95" s="1"/>
  <c r="BV96"/>
  <c r="BW96" s="1"/>
  <c r="BV97"/>
  <c r="BW97" s="1"/>
  <c r="BV98"/>
  <c r="BW98" s="1"/>
  <c r="BX97" s="1"/>
  <c r="BV99"/>
  <c r="BW99" s="1"/>
  <c r="BV100"/>
  <c r="BW100" s="1"/>
  <c r="BV101"/>
  <c r="BW101" s="1"/>
  <c r="BV102"/>
  <c r="BW102" s="1"/>
  <c r="BX101" s="1"/>
  <c r="BV103"/>
  <c r="BW103" s="1"/>
  <c r="BV104"/>
  <c r="BW104" s="1"/>
  <c r="BV105"/>
  <c r="BW105" s="1"/>
  <c r="BV106"/>
  <c r="BW106" s="1"/>
  <c r="BX105" s="1"/>
  <c r="BV107"/>
  <c r="BW107" s="1"/>
  <c r="BV108"/>
  <c r="BW108" s="1"/>
  <c r="BV109"/>
  <c r="BW109" s="1"/>
  <c r="BV110"/>
  <c r="BW110" s="1"/>
  <c r="BX109" s="1"/>
  <c r="BV111"/>
  <c r="BW111" s="1"/>
  <c r="BV112"/>
  <c r="BW112" s="1"/>
  <c r="BV113"/>
  <c r="BW113" s="1"/>
  <c r="BV114"/>
  <c r="BW114" s="1"/>
  <c r="BX113" s="1"/>
  <c r="BV115"/>
  <c r="BW115" s="1"/>
  <c r="BV116"/>
  <c r="BW116" s="1"/>
  <c r="BV117"/>
  <c r="BW117" s="1"/>
  <c r="BV118"/>
  <c r="BW118" s="1"/>
  <c r="BX117" s="1"/>
  <c r="BV119"/>
  <c r="BW119" s="1"/>
  <c r="BV120"/>
  <c r="BW120" s="1"/>
  <c r="BV121"/>
  <c r="BW121" s="1"/>
  <c r="BV122"/>
  <c r="BW122" s="1"/>
  <c r="BX121" s="1"/>
  <c r="BV123"/>
  <c r="BW123" s="1"/>
  <c r="BV124"/>
  <c r="BW124" s="1"/>
  <c r="BV125"/>
  <c r="BW125" s="1"/>
  <c r="BV126"/>
  <c r="BW126" s="1"/>
  <c r="BX125" s="1"/>
  <c r="BV127"/>
  <c r="BW127" s="1"/>
  <c r="BV128"/>
  <c r="BW128" s="1"/>
  <c r="BV129"/>
  <c r="BW129" s="1"/>
  <c r="BV130"/>
  <c r="BW130" s="1"/>
  <c r="BX129" s="1"/>
  <c r="BV131"/>
  <c r="BW131" s="1"/>
  <c r="BV132"/>
  <c r="BW132" s="1"/>
  <c r="BV133"/>
  <c r="BW133" s="1"/>
  <c r="BV134"/>
  <c r="BW134" s="1"/>
  <c r="BX133" s="1"/>
  <c r="BV135"/>
  <c r="BW135" s="1"/>
  <c r="BV136"/>
  <c r="BW136" s="1"/>
  <c r="BV137"/>
  <c r="BW137" s="1"/>
  <c r="BV138"/>
  <c r="BW138" s="1"/>
  <c r="BX137" s="1"/>
  <c r="BV139"/>
  <c r="BW139" s="1"/>
  <c r="BV140"/>
  <c r="BW140" s="1"/>
  <c r="BV141"/>
  <c r="BW141" s="1"/>
  <c r="BV142"/>
  <c r="BW142" s="1"/>
  <c r="BX141" s="1"/>
  <c r="BV143"/>
  <c r="BW143" s="1"/>
  <c r="BV144"/>
  <c r="BW144" s="1"/>
  <c r="BV145"/>
  <c r="BW145" s="1"/>
  <c r="BV146"/>
  <c r="BW146" s="1"/>
  <c r="BX145" s="1"/>
  <c r="BV147"/>
  <c r="BW147" s="1"/>
  <c r="BV148"/>
  <c r="BW148" s="1"/>
  <c r="BV149"/>
  <c r="BW149" s="1"/>
  <c r="BV150"/>
  <c r="BW150" s="1"/>
  <c r="BX149" s="1"/>
  <c r="BV151"/>
  <c r="BW151" s="1"/>
  <c r="BV152"/>
  <c r="BW152" s="1"/>
  <c r="BV153"/>
  <c r="BW153" s="1"/>
  <c r="BV154"/>
  <c r="BW154" s="1"/>
  <c r="BX153" s="1"/>
  <c r="BV155"/>
  <c r="BW155" s="1"/>
  <c r="BM220"/>
  <c r="BN220" s="1"/>
  <c r="BM221"/>
  <c r="BM222"/>
  <c r="BN222" s="1"/>
  <c r="BM223"/>
  <c r="BM224"/>
  <c r="BN224" s="1"/>
  <c r="BM225"/>
  <c r="BM226"/>
  <c r="BN226" s="1"/>
  <c r="BM227"/>
  <c r="BM228"/>
  <c r="BN228" s="1"/>
  <c r="BM229"/>
  <c r="BM230"/>
  <c r="BN230" s="1"/>
  <c r="BM231"/>
  <c r="BM232"/>
  <c r="BN232" s="1"/>
  <c r="BM233"/>
  <c r="BM234"/>
  <c r="BN234" s="1"/>
  <c r="BM235"/>
  <c r="BM236"/>
  <c r="BN236" s="1"/>
  <c r="BM237"/>
  <c r="BM238"/>
  <c r="BN238" s="1"/>
  <c r="BM239"/>
  <c r="BM240"/>
  <c r="BN240" s="1"/>
  <c r="BM241"/>
  <c r="BM242"/>
  <c r="BN242" s="1"/>
  <c r="BM243"/>
  <c r="BM244"/>
  <c r="BN244" s="1"/>
  <c r="BM245"/>
  <c r="BM246"/>
  <c r="BN246" s="1"/>
  <c r="BM247"/>
  <c r="BM248"/>
  <c r="BN248" s="1"/>
  <c r="BM249"/>
  <c r="BM250"/>
  <c r="BN250" s="1"/>
  <c r="BM251"/>
  <c r="BM252"/>
  <c r="BN252" s="1"/>
  <c r="BM253"/>
  <c r="BM254"/>
  <c r="BN254" s="1"/>
  <c r="BM255"/>
  <c r="BM256"/>
  <c r="BN256" s="1"/>
  <c r="BM257"/>
  <c r="BM258"/>
  <c r="BN258" s="1"/>
  <c r="BM259"/>
  <c r="BM260"/>
  <c r="BN260" s="1"/>
  <c r="BM261"/>
  <c r="BM262"/>
  <c r="BN262" s="1"/>
  <c r="BM263"/>
  <c r="BM264"/>
  <c r="BN264" s="1"/>
  <c r="BM265"/>
  <c r="BM266"/>
  <c r="BN266" s="1"/>
  <c r="BM267"/>
  <c r="BM268"/>
  <c r="BN268" s="1"/>
  <c r="BM269"/>
  <c r="BM270"/>
  <c r="BN270" s="1"/>
  <c r="BM271"/>
  <c r="BM272"/>
  <c r="BN272" s="1"/>
  <c r="BM273"/>
  <c r="BN273" s="1"/>
  <c r="BM274"/>
  <c r="BN274" s="1"/>
  <c r="BM275"/>
  <c r="BM276"/>
  <c r="BN276" s="1"/>
  <c r="BM277"/>
  <c r="BN277" s="1"/>
  <c r="BM278"/>
  <c r="BN278" s="1"/>
  <c r="BM279"/>
  <c r="BC38"/>
  <c r="BC54"/>
  <c r="BC70"/>
  <c r="BC78"/>
  <c r="BC86"/>
  <c r="BC94"/>
  <c r="BC126"/>
  <c r="BB28"/>
  <c r="AR30"/>
  <c r="AR34"/>
  <c r="AR35"/>
  <c r="AR36"/>
  <c r="AR40"/>
  <c r="AR42"/>
  <c r="AR44"/>
  <c r="AR48"/>
  <c r="AR50"/>
  <c r="AR52"/>
  <c r="AR56"/>
  <c r="AR58"/>
  <c r="AR60"/>
  <c r="AR64"/>
  <c r="AR66"/>
  <c r="AR70"/>
  <c r="AR72"/>
  <c r="AR74"/>
  <c r="AR78"/>
  <c r="AR80"/>
  <c r="AR82"/>
  <c r="AR86"/>
  <c r="AR88"/>
  <c r="AR90"/>
  <c r="AR94"/>
  <c r="AR96"/>
  <c r="AR98"/>
  <c r="AR100"/>
  <c r="AR102"/>
  <c r="AR104"/>
  <c r="AR108"/>
  <c r="AR110"/>
  <c r="AR112"/>
  <c r="AR116"/>
  <c r="AR118"/>
  <c r="AR120"/>
  <c r="AR124"/>
  <c r="AR126"/>
  <c r="AR128"/>
  <c r="AR132"/>
  <c r="AR134"/>
  <c r="AR138"/>
  <c r="G9"/>
  <c r="AR8" s="1"/>
  <c r="G8"/>
  <c r="AR7" s="1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X46" s="1"/>
  <c r="AV47"/>
  <c r="AV48"/>
  <c r="AV49"/>
  <c r="AV50"/>
  <c r="AX50" s="1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X70" s="1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X94" s="1"/>
  <c r="AV95"/>
  <c r="AV96"/>
  <c r="AV97"/>
  <c r="AV98"/>
  <c r="AV99"/>
  <c r="AV100"/>
  <c r="AV101"/>
  <c r="AV102"/>
  <c r="AV103"/>
  <c r="AV104"/>
  <c r="AV105"/>
  <c r="AV106"/>
  <c r="AX106" s="1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X126" s="1"/>
  <c r="AV127"/>
  <c r="AV128"/>
  <c r="AV129"/>
  <c r="AV130"/>
  <c r="AV131"/>
  <c r="AV132"/>
  <c r="AV133"/>
  <c r="AV134"/>
  <c r="AV135"/>
  <c r="AV136"/>
  <c r="AV137"/>
  <c r="AV138"/>
  <c r="AV139"/>
  <c r="AV28"/>
  <c r="AV27"/>
  <c r="AW28"/>
  <c r="AF28"/>
  <c r="AG28"/>
  <c r="V623"/>
  <c r="Y623" s="1"/>
  <c r="V624"/>
  <c r="V625"/>
  <c r="Y625" s="1"/>
  <c r="V626"/>
  <c r="V627"/>
  <c r="Y627" s="1"/>
  <c r="V628"/>
  <c r="V629"/>
  <c r="V630"/>
  <c r="V631"/>
  <c r="Y631" s="1"/>
  <c r="V632"/>
  <c r="V633"/>
  <c r="Y633" s="1"/>
  <c r="V634"/>
  <c r="V635"/>
  <c r="Y635" s="1"/>
  <c r="V636"/>
  <c r="V637"/>
  <c r="V638"/>
  <c r="V639"/>
  <c r="Y639" s="1"/>
  <c r="V640"/>
  <c r="V641"/>
  <c r="Y641" s="1"/>
  <c r="V642"/>
  <c r="V643"/>
  <c r="Y643" s="1"/>
  <c r="V644"/>
  <c r="V645"/>
  <c r="V646"/>
  <c r="V647"/>
  <c r="Y647" s="1"/>
  <c r="V648"/>
  <c r="V649"/>
  <c r="V478"/>
  <c r="Y478" s="1"/>
  <c r="V479"/>
  <c r="Y479" s="1"/>
  <c r="V480"/>
  <c r="Y480" s="1"/>
  <c r="V481"/>
  <c r="Y481" s="1"/>
  <c r="V482"/>
  <c r="Y482" s="1"/>
  <c r="V483"/>
  <c r="Y483" s="1"/>
  <c r="V484"/>
  <c r="Y484" s="1"/>
  <c r="V485"/>
  <c r="Y485" s="1"/>
  <c r="V486"/>
  <c r="Y486" s="1"/>
  <c r="V487"/>
  <c r="Y487" s="1"/>
  <c r="V488"/>
  <c r="Y488" s="1"/>
  <c r="V489"/>
  <c r="Y489" s="1"/>
  <c r="V490"/>
  <c r="Y490" s="1"/>
  <c r="V491"/>
  <c r="Y491" s="1"/>
  <c r="V492"/>
  <c r="Y492" s="1"/>
  <c r="V493"/>
  <c r="Y493" s="1"/>
  <c r="V494"/>
  <c r="Y494" s="1"/>
  <c r="V495"/>
  <c r="Y495" s="1"/>
  <c r="V496"/>
  <c r="Y496" s="1"/>
  <c r="V497"/>
  <c r="Y497" s="1"/>
  <c r="V498"/>
  <c r="Y498" s="1"/>
  <c r="V499"/>
  <c r="Y499" s="1"/>
  <c r="V500"/>
  <c r="Y500" s="1"/>
  <c r="V501"/>
  <c r="Y501" s="1"/>
  <c r="V502"/>
  <c r="Y502" s="1"/>
  <c r="V503"/>
  <c r="Y503" s="1"/>
  <c r="V504"/>
  <c r="Y504" s="1"/>
  <c r="V505"/>
  <c r="Y505" s="1"/>
  <c r="V506"/>
  <c r="Y506" s="1"/>
  <c r="V507"/>
  <c r="Y507" s="1"/>
  <c r="V508"/>
  <c r="Y508" s="1"/>
  <c r="V509"/>
  <c r="Y509" s="1"/>
  <c r="V510"/>
  <c r="Y510" s="1"/>
  <c r="V511"/>
  <c r="Y511" s="1"/>
  <c r="V512"/>
  <c r="Y512" s="1"/>
  <c r="V513"/>
  <c r="Y513" s="1"/>
  <c r="V514"/>
  <c r="Y514" s="1"/>
  <c r="V515"/>
  <c r="Y515" s="1"/>
  <c r="V516"/>
  <c r="Y516" s="1"/>
  <c r="V517"/>
  <c r="Y517" s="1"/>
  <c r="V518"/>
  <c r="Y518" s="1"/>
  <c r="V519"/>
  <c r="Y519" s="1"/>
  <c r="V520"/>
  <c r="Y520" s="1"/>
  <c r="V521"/>
  <c r="Y521" s="1"/>
  <c r="V522"/>
  <c r="Y522" s="1"/>
  <c r="V523"/>
  <c r="Y523" s="1"/>
  <c r="V524"/>
  <c r="Y524" s="1"/>
  <c r="V525"/>
  <c r="Y525" s="1"/>
  <c r="V526"/>
  <c r="Y526" s="1"/>
  <c r="V527"/>
  <c r="Y527" s="1"/>
  <c r="V528"/>
  <c r="Y528" s="1"/>
  <c r="V529"/>
  <c r="Y529" s="1"/>
  <c r="V530"/>
  <c r="Y530" s="1"/>
  <c r="V531"/>
  <c r="Y531" s="1"/>
  <c r="V532"/>
  <c r="Y532" s="1"/>
  <c r="V533"/>
  <c r="Y533" s="1"/>
  <c r="V534"/>
  <c r="Y534" s="1"/>
  <c r="V535"/>
  <c r="Y535" s="1"/>
  <c r="V536"/>
  <c r="Y536" s="1"/>
  <c r="V537"/>
  <c r="Y537" s="1"/>
  <c r="V538"/>
  <c r="Y538" s="1"/>
  <c r="V539"/>
  <c r="Y539" s="1"/>
  <c r="V540"/>
  <c r="Y540" s="1"/>
  <c r="V541"/>
  <c r="Y541" s="1"/>
  <c r="V542"/>
  <c r="Y542" s="1"/>
  <c r="V543"/>
  <c r="Y543" s="1"/>
  <c r="V544"/>
  <c r="Y544" s="1"/>
  <c r="V545"/>
  <c r="Y545" s="1"/>
  <c r="V546"/>
  <c r="Y546" s="1"/>
  <c r="V547"/>
  <c r="Y547" s="1"/>
  <c r="V548"/>
  <c r="Y548" s="1"/>
  <c r="V549"/>
  <c r="Y549" s="1"/>
  <c r="V550"/>
  <c r="Y550" s="1"/>
  <c r="V551"/>
  <c r="Y551" s="1"/>
  <c r="V552"/>
  <c r="Y552" s="1"/>
  <c r="V553"/>
  <c r="Y553" s="1"/>
  <c r="V554"/>
  <c r="Y554" s="1"/>
  <c r="V555"/>
  <c r="Y555" s="1"/>
  <c r="V556"/>
  <c r="Y556" s="1"/>
  <c r="V557"/>
  <c r="Y557" s="1"/>
  <c r="V558"/>
  <c r="Y558" s="1"/>
  <c r="V559"/>
  <c r="Y559" s="1"/>
  <c r="V560"/>
  <c r="Y560" s="1"/>
  <c r="V561"/>
  <c r="Y561" s="1"/>
  <c r="V562"/>
  <c r="Y562" s="1"/>
  <c r="V563"/>
  <c r="Y563" s="1"/>
  <c r="V564"/>
  <c r="Y564" s="1"/>
  <c r="V565"/>
  <c r="Y565" s="1"/>
  <c r="V566"/>
  <c r="Y566" s="1"/>
  <c r="V567"/>
  <c r="Y567" s="1"/>
  <c r="V568"/>
  <c r="Y568" s="1"/>
  <c r="V569"/>
  <c r="Y569" s="1"/>
  <c r="V570"/>
  <c r="Y570" s="1"/>
  <c r="V571"/>
  <c r="Y571" s="1"/>
  <c r="V572"/>
  <c r="Y572" s="1"/>
  <c r="V573"/>
  <c r="Y573" s="1"/>
  <c r="V574"/>
  <c r="Y574" s="1"/>
  <c r="V575"/>
  <c r="Y575" s="1"/>
  <c r="V576"/>
  <c r="Y576" s="1"/>
  <c r="V577"/>
  <c r="Y577" s="1"/>
  <c r="V578"/>
  <c r="Y578" s="1"/>
  <c r="V579"/>
  <c r="Y579" s="1"/>
  <c r="V580"/>
  <c r="Y580" s="1"/>
  <c r="V581"/>
  <c r="Y581" s="1"/>
  <c r="V582"/>
  <c r="Y582" s="1"/>
  <c r="V583"/>
  <c r="Y583" s="1"/>
  <c r="V584"/>
  <c r="Y584" s="1"/>
  <c r="V585"/>
  <c r="Y585" s="1"/>
  <c r="V586"/>
  <c r="Y586" s="1"/>
  <c r="V587"/>
  <c r="Y587" s="1"/>
  <c r="V588"/>
  <c r="Y588" s="1"/>
  <c r="V589"/>
  <c r="Y589" s="1"/>
  <c r="V590"/>
  <c r="Y590" s="1"/>
  <c r="V591"/>
  <c r="Y591" s="1"/>
  <c r="V592"/>
  <c r="Y592" s="1"/>
  <c r="V593"/>
  <c r="Y593" s="1"/>
  <c r="V594"/>
  <c r="Y594" s="1"/>
  <c r="V595"/>
  <c r="Y595" s="1"/>
  <c r="V596"/>
  <c r="Y596" s="1"/>
  <c r="V597"/>
  <c r="Y597" s="1"/>
  <c r="V598"/>
  <c r="Y598" s="1"/>
  <c r="V599"/>
  <c r="Y599" s="1"/>
  <c r="V600"/>
  <c r="Y600" s="1"/>
  <c r="V601"/>
  <c r="Y601" s="1"/>
  <c r="V602"/>
  <c r="Y602" s="1"/>
  <c r="V603"/>
  <c r="Y603" s="1"/>
  <c r="V604"/>
  <c r="Y604" s="1"/>
  <c r="V605"/>
  <c r="Y605" s="1"/>
  <c r="V606"/>
  <c r="Y606" s="1"/>
  <c r="V607"/>
  <c r="Y607" s="1"/>
  <c r="V608"/>
  <c r="Y608" s="1"/>
  <c r="V609"/>
  <c r="Y609" s="1"/>
  <c r="V610"/>
  <c r="Y610" s="1"/>
  <c r="V611"/>
  <c r="Y611" s="1"/>
  <c r="V612"/>
  <c r="Y612" s="1"/>
  <c r="V613"/>
  <c r="Y613" s="1"/>
  <c r="V614"/>
  <c r="Y614" s="1"/>
  <c r="V615"/>
  <c r="Y615" s="1"/>
  <c r="V616"/>
  <c r="Y616" s="1"/>
  <c r="V617"/>
  <c r="Y617" s="1"/>
  <c r="V618"/>
  <c r="Y618" s="1"/>
  <c r="V619"/>
  <c r="Y619" s="1"/>
  <c r="V620"/>
  <c r="Y620" s="1"/>
  <c r="V621"/>
  <c r="Y621" s="1"/>
  <c r="V622"/>
  <c r="Y622" s="1"/>
  <c r="V429"/>
  <c r="Y429" s="1"/>
  <c r="V430"/>
  <c r="Y430" s="1"/>
  <c r="V431"/>
  <c r="Y431" s="1"/>
  <c r="V432"/>
  <c r="Y432" s="1"/>
  <c r="V433"/>
  <c r="Y433" s="1"/>
  <c r="V434"/>
  <c r="Y434" s="1"/>
  <c r="V435"/>
  <c r="Y435" s="1"/>
  <c r="V436"/>
  <c r="Y436" s="1"/>
  <c r="V437"/>
  <c r="Y437" s="1"/>
  <c r="V438"/>
  <c r="Y438" s="1"/>
  <c r="V439"/>
  <c r="Y439" s="1"/>
  <c r="V440"/>
  <c r="Y440" s="1"/>
  <c r="V441"/>
  <c r="Y441" s="1"/>
  <c r="V442"/>
  <c r="Y442" s="1"/>
  <c r="V443"/>
  <c r="Y443" s="1"/>
  <c r="V444"/>
  <c r="Y444" s="1"/>
  <c r="V445"/>
  <c r="Y445" s="1"/>
  <c r="V446"/>
  <c r="Y446" s="1"/>
  <c r="V447"/>
  <c r="Y447" s="1"/>
  <c r="V448"/>
  <c r="Y448" s="1"/>
  <c r="V449"/>
  <c r="Y449" s="1"/>
  <c r="V450"/>
  <c r="Y450" s="1"/>
  <c r="V451"/>
  <c r="Y451" s="1"/>
  <c r="V452"/>
  <c r="Y452" s="1"/>
  <c r="V453"/>
  <c r="Y453" s="1"/>
  <c r="V454"/>
  <c r="Y454" s="1"/>
  <c r="V455"/>
  <c r="Y455" s="1"/>
  <c r="V456"/>
  <c r="Y456" s="1"/>
  <c r="V457"/>
  <c r="Y457" s="1"/>
  <c r="V458"/>
  <c r="Y458" s="1"/>
  <c r="V459"/>
  <c r="Y459" s="1"/>
  <c r="V460"/>
  <c r="Y460" s="1"/>
  <c r="V461"/>
  <c r="Y461" s="1"/>
  <c r="V462"/>
  <c r="Y462" s="1"/>
  <c r="V463"/>
  <c r="Y463" s="1"/>
  <c r="V464"/>
  <c r="Y464" s="1"/>
  <c r="V465"/>
  <c r="Y465" s="1"/>
  <c r="V466"/>
  <c r="Y466" s="1"/>
  <c r="V467"/>
  <c r="Y467" s="1"/>
  <c r="V468"/>
  <c r="Y468" s="1"/>
  <c r="V469"/>
  <c r="Y469" s="1"/>
  <c r="V470"/>
  <c r="Y470" s="1"/>
  <c r="V471"/>
  <c r="Y471" s="1"/>
  <c r="V472"/>
  <c r="Y472" s="1"/>
  <c r="V473"/>
  <c r="Y473" s="1"/>
  <c r="V474"/>
  <c r="Y474" s="1"/>
  <c r="V475"/>
  <c r="Y475" s="1"/>
  <c r="V476"/>
  <c r="Y476" s="1"/>
  <c r="V477"/>
  <c r="Y477" s="1"/>
  <c r="V401"/>
  <c r="Y401" s="1"/>
  <c r="V402"/>
  <c r="Y402" s="1"/>
  <c r="V403"/>
  <c r="Y403" s="1"/>
  <c r="V404"/>
  <c r="Y404" s="1"/>
  <c r="V405"/>
  <c r="Y405" s="1"/>
  <c r="V406"/>
  <c r="Y406" s="1"/>
  <c r="V407"/>
  <c r="Y407" s="1"/>
  <c r="V408"/>
  <c r="Y408" s="1"/>
  <c r="V409"/>
  <c r="Y409" s="1"/>
  <c r="V410"/>
  <c r="Y410" s="1"/>
  <c r="V411"/>
  <c r="Y411" s="1"/>
  <c r="V412"/>
  <c r="Y412" s="1"/>
  <c r="V413"/>
  <c r="Y413" s="1"/>
  <c r="V414"/>
  <c r="Y414" s="1"/>
  <c r="V415"/>
  <c r="Y415" s="1"/>
  <c r="V416"/>
  <c r="Y416" s="1"/>
  <c r="V417"/>
  <c r="Y417" s="1"/>
  <c r="V418"/>
  <c r="Y418" s="1"/>
  <c r="V419"/>
  <c r="Y419" s="1"/>
  <c r="V420"/>
  <c r="Y420" s="1"/>
  <c r="V421"/>
  <c r="Y421" s="1"/>
  <c r="V422"/>
  <c r="Y422" s="1"/>
  <c r="V423"/>
  <c r="Y423" s="1"/>
  <c r="V424"/>
  <c r="Y424" s="1"/>
  <c r="V425"/>
  <c r="Y425" s="1"/>
  <c r="V426"/>
  <c r="Y426" s="1"/>
  <c r="V427"/>
  <c r="Y427" s="1"/>
  <c r="V428"/>
  <c r="Y428" s="1"/>
  <c r="V271"/>
  <c r="Y271" s="1"/>
  <c r="V272"/>
  <c r="Y272" s="1"/>
  <c r="V273"/>
  <c r="Y273" s="1"/>
  <c r="V274"/>
  <c r="Y274" s="1"/>
  <c r="V275"/>
  <c r="Y275" s="1"/>
  <c r="V276"/>
  <c r="Y276" s="1"/>
  <c r="V277"/>
  <c r="Y277" s="1"/>
  <c r="V278"/>
  <c r="Y278" s="1"/>
  <c r="V279"/>
  <c r="Y279" s="1"/>
  <c r="V280"/>
  <c r="Y280" s="1"/>
  <c r="V281"/>
  <c r="Y281" s="1"/>
  <c r="V282"/>
  <c r="Y282" s="1"/>
  <c r="V283"/>
  <c r="Y283" s="1"/>
  <c r="V284"/>
  <c r="Y284" s="1"/>
  <c r="V285"/>
  <c r="Y285" s="1"/>
  <c r="V286"/>
  <c r="Y286" s="1"/>
  <c r="V287"/>
  <c r="Y287" s="1"/>
  <c r="V288"/>
  <c r="Y288" s="1"/>
  <c r="V289"/>
  <c r="Y289" s="1"/>
  <c r="V290"/>
  <c r="Y290" s="1"/>
  <c r="V291"/>
  <c r="Y291" s="1"/>
  <c r="V292"/>
  <c r="Y292" s="1"/>
  <c r="V293"/>
  <c r="Y293" s="1"/>
  <c r="V294"/>
  <c r="Y294" s="1"/>
  <c r="V295"/>
  <c r="Y295" s="1"/>
  <c r="V296"/>
  <c r="Y296" s="1"/>
  <c r="V297"/>
  <c r="Y297" s="1"/>
  <c r="V298"/>
  <c r="Y298" s="1"/>
  <c r="V299"/>
  <c r="Y299" s="1"/>
  <c r="V300"/>
  <c r="Y300" s="1"/>
  <c r="V301"/>
  <c r="Y301" s="1"/>
  <c r="V302"/>
  <c r="Y302" s="1"/>
  <c r="V303"/>
  <c r="Y303" s="1"/>
  <c r="V304"/>
  <c r="Y304" s="1"/>
  <c r="V305"/>
  <c r="Y305" s="1"/>
  <c r="V306"/>
  <c r="Y306" s="1"/>
  <c r="V307"/>
  <c r="Y307" s="1"/>
  <c r="V308"/>
  <c r="Y308" s="1"/>
  <c r="V309"/>
  <c r="Y309" s="1"/>
  <c r="V310"/>
  <c r="Y310" s="1"/>
  <c r="V311"/>
  <c r="Y311" s="1"/>
  <c r="V312"/>
  <c r="Y312" s="1"/>
  <c r="V313"/>
  <c r="Y313" s="1"/>
  <c r="V314"/>
  <c r="Y314" s="1"/>
  <c r="V315"/>
  <c r="Y315" s="1"/>
  <c r="V316"/>
  <c r="Y316" s="1"/>
  <c r="V317"/>
  <c r="Y317" s="1"/>
  <c r="V318"/>
  <c r="Y318" s="1"/>
  <c r="V319"/>
  <c r="Y319" s="1"/>
  <c r="V320"/>
  <c r="Y320" s="1"/>
  <c r="V321"/>
  <c r="Y321" s="1"/>
  <c r="V322"/>
  <c r="Y322" s="1"/>
  <c r="V323"/>
  <c r="Y323" s="1"/>
  <c r="V324"/>
  <c r="Y324" s="1"/>
  <c r="V325"/>
  <c r="Y325" s="1"/>
  <c r="V326"/>
  <c r="Y326" s="1"/>
  <c r="V327"/>
  <c r="Y327" s="1"/>
  <c r="V328"/>
  <c r="Y328" s="1"/>
  <c r="V329"/>
  <c r="Y329" s="1"/>
  <c r="V330"/>
  <c r="Y330" s="1"/>
  <c r="V331"/>
  <c r="Y331" s="1"/>
  <c r="V332"/>
  <c r="Y332" s="1"/>
  <c r="V333"/>
  <c r="Y333" s="1"/>
  <c r="V334"/>
  <c r="Y334" s="1"/>
  <c r="V335"/>
  <c r="Y335" s="1"/>
  <c r="V336"/>
  <c r="Y336" s="1"/>
  <c r="V337"/>
  <c r="Y337" s="1"/>
  <c r="V338"/>
  <c r="Y338" s="1"/>
  <c r="V339"/>
  <c r="Y339" s="1"/>
  <c r="V340"/>
  <c r="Y340" s="1"/>
  <c r="V341"/>
  <c r="Y341" s="1"/>
  <c r="V342"/>
  <c r="Y342" s="1"/>
  <c r="V343"/>
  <c r="Y343" s="1"/>
  <c r="V344"/>
  <c r="Y344" s="1"/>
  <c r="V345"/>
  <c r="Y345" s="1"/>
  <c r="V346"/>
  <c r="Y346" s="1"/>
  <c r="V347"/>
  <c r="Y347" s="1"/>
  <c r="V348"/>
  <c r="Y348" s="1"/>
  <c r="V349"/>
  <c r="Y349" s="1"/>
  <c r="V350"/>
  <c r="Y350" s="1"/>
  <c r="V351"/>
  <c r="Y351" s="1"/>
  <c r="V352"/>
  <c r="Y352" s="1"/>
  <c r="V353"/>
  <c r="Y353" s="1"/>
  <c r="V354"/>
  <c r="Y354" s="1"/>
  <c r="V355"/>
  <c r="Y355" s="1"/>
  <c r="V356"/>
  <c r="Y356" s="1"/>
  <c r="V357"/>
  <c r="Y357" s="1"/>
  <c r="V358"/>
  <c r="Y358" s="1"/>
  <c r="V359"/>
  <c r="Y359" s="1"/>
  <c r="V360"/>
  <c r="Y360" s="1"/>
  <c r="V361"/>
  <c r="Y361" s="1"/>
  <c r="V362"/>
  <c r="Y362" s="1"/>
  <c r="V363"/>
  <c r="Y363" s="1"/>
  <c r="V364"/>
  <c r="Y364" s="1"/>
  <c r="V365"/>
  <c r="Y365" s="1"/>
  <c r="V366"/>
  <c r="Y366" s="1"/>
  <c r="V367"/>
  <c r="Y367" s="1"/>
  <c r="V368"/>
  <c r="Y368" s="1"/>
  <c r="V369"/>
  <c r="Y369" s="1"/>
  <c r="V370"/>
  <c r="Y370" s="1"/>
  <c r="V371"/>
  <c r="Y371" s="1"/>
  <c r="V372"/>
  <c r="Y372" s="1"/>
  <c r="V373"/>
  <c r="Y373" s="1"/>
  <c r="V374"/>
  <c r="Y374" s="1"/>
  <c r="V375"/>
  <c r="Y375" s="1"/>
  <c r="V376"/>
  <c r="Y376" s="1"/>
  <c r="V377"/>
  <c r="Y377" s="1"/>
  <c r="V378"/>
  <c r="Y378" s="1"/>
  <c r="V379"/>
  <c r="Y379" s="1"/>
  <c r="V380"/>
  <c r="Y380" s="1"/>
  <c r="V381"/>
  <c r="Y381" s="1"/>
  <c r="V382"/>
  <c r="Y382" s="1"/>
  <c r="V383"/>
  <c r="Y383" s="1"/>
  <c r="V384"/>
  <c r="Y384" s="1"/>
  <c r="V385"/>
  <c r="Y385" s="1"/>
  <c r="V386"/>
  <c r="Y386" s="1"/>
  <c r="V387"/>
  <c r="Y387" s="1"/>
  <c r="V388"/>
  <c r="Y388" s="1"/>
  <c r="V389"/>
  <c r="Y389" s="1"/>
  <c r="V390"/>
  <c r="Y390" s="1"/>
  <c r="V391"/>
  <c r="Y391" s="1"/>
  <c r="V392"/>
  <c r="Y392" s="1"/>
  <c r="V393"/>
  <c r="Y393" s="1"/>
  <c r="V394"/>
  <c r="Y394" s="1"/>
  <c r="V395"/>
  <c r="Y395" s="1"/>
  <c r="V396"/>
  <c r="Y396" s="1"/>
  <c r="V397"/>
  <c r="Y397" s="1"/>
  <c r="V398"/>
  <c r="Y398" s="1"/>
  <c r="V399"/>
  <c r="Y399" s="1"/>
  <c r="V400"/>
  <c r="Y400" s="1"/>
  <c r="V270"/>
  <c r="Y270" s="1"/>
  <c r="V30"/>
  <c r="Y30" s="1"/>
  <c r="AH30" s="1"/>
  <c r="W30"/>
  <c r="Z30" s="1"/>
  <c r="V31"/>
  <c r="Y31" s="1"/>
  <c r="W31"/>
  <c r="Z31" s="1"/>
  <c r="V32"/>
  <c r="Y32" s="1"/>
  <c r="AA32" s="1"/>
  <c r="W32"/>
  <c r="Z32" s="1"/>
  <c r="V33"/>
  <c r="Y33" s="1"/>
  <c r="AH33" s="1"/>
  <c r="W33"/>
  <c r="Z33" s="1"/>
  <c r="V34"/>
  <c r="Y34" s="1"/>
  <c r="W34"/>
  <c r="Z34" s="1"/>
  <c r="V35"/>
  <c r="Y35" s="1"/>
  <c r="W35"/>
  <c r="Z35" s="1"/>
  <c r="V36"/>
  <c r="Y36" s="1"/>
  <c r="AE36" s="1"/>
  <c r="W36"/>
  <c r="Z36" s="1"/>
  <c r="V37"/>
  <c r="Y37" s="1"/>
  <c r="AA37" s="1"/>
  <c r="W37"/>
  <c r="Z37" s="1"/>
  <c r="V38"/>
  <c r="Y38" s="1"/>
  <c r="AH38" s="1"/>
  <c r="W38"/>
  <c r="Z38" s="1"/>
  <c r="V39"/>
  <c r="Y39" s="1"/>
  <c r="W39"/>
  <c r="Z39" s="1"/>
  <c r="V40"/>
  <c r="Y40" s="1"/>
  <c r="AH40" s="1"/>
  <c r="W40"/>
  <c r="Z40" s="1"/>
  <c r="V41"/>
  <c r="Y41" s="1"/>
  <c r="AA41" s="1"/>
  <c r="W41"/>
  <c r="Z41" s="1"/>
  <c r="V42"/>
  <c r="Y42" s="1"/>
  <c r="W42"/>
  <c r="Z42" s="1"/>
  <c r="V43"/>
  <c r="Y43" s="1"/>
  <c r="W43"/>
  <c r="Z43" s="1"/>
  <c r="V44"/>
  <c r="Y44" s="1"/>
  <c r="AE44" s="1"/>
  <c r="W44"/>
  <c r="Z44" s="1"/>
  <c r="V45"/>
  <c r="Y45" s="1"/>
  <c r="AE45" s="1"/>
  <c r="W45"/>
  <c r="Z45" s="1"/>
  <c r="V46"/>
  <c r="Y46" s="1"/>
  <c r="AH46" s="1"/>
  <c r="W46"/>
  <c r="Z46" s="1"/>
  <c r="V47"/>
  <c r="Y47" s="1"/>
  <c r="W47"/>
  <c r="Z47" s="1"/>
  <c r="V48"/>
  <c r="Y48" s="1"/>
  <c r="AA48" s="1"/>
  <c r="W48"/>
  <c r="Z48" s="1"/>
  <c r="V49"/>
  <c r="Y49" s="1"/>
  <c r="AA49" s="1"/>
  <c r="W49"/>
  <c r="Z49" s="1"/>
  <c r="V50"/>
  <c r="Y50" s="1"/>
  <c r="W50"/>
  <c r="Z50" s="1"/>
  <c r="V51"/>
  <c r="Y51" s="1"/>
  <c r="W51"/>
  <c r="Z51" s="1"/>
  <c r="V52"/>
  <c r="Y52" s="1"/>
  <c r="AH52" s="1"/>
  <c r="W52"/>
  <c r="Z52" s="1"/>
  <c r="V53"/>
  <c r="Y53" s="1"/>
  <c r="AA53" s="1"/>
  <c r="W53"/>
  <c r="Z53" s="1"/>
  <c r="V54"/>
  <c r="Y54" s="1"/>
  <c r="AH54" s="1"/>
  <c r="W54"/>
  <c r="Z54" s="1"/>
  <c r="V55"/>
  <c r="Y55" s="1"/>
  <c r="W55"/>
  <c r="Z55" s="1"/>
  <c r="V56"/>
  <c r="Y56" s="1"/>
  <c r="AH56" s="1"/>
  <c r="W56"/>
  <c r="Z56" s="1"/>
  <c r="V57"/>
  <c r="Y57" s="1"/>
  <c r="AH57" s="1"/>
  <c r="W57"/>
  <c r="Z57" s="1"/>
  <c r="V58"/>
  <c r="Y58" s="1"/>
  <c r="W58"/>
  <c r="Z58" s="1"/>
  <c r="V59"/>
  <c r="Y59" s="1"/>
  <c r="W59"/>
  <c r="Z59" s="1"/>
  <c r="V60"/>
  <c r="Y60" s="1"/>
  <c r="W60"/>
  <c r="Z60" s="1"/>
  <c r="V61"/>
  <c r="Y61" s="1"/>
  <c r="AH61" s="1"/>
  <c r="W61"/>
  <c r="Z61" s="1"/>
  <c r="V62"/>
  <c r="Y62" s="1"/>
  <c r="AH62" s="1"/>
  <c r="W62"/>
  <c r="Z62" s="1"/>
  <c r="V63"/>
  <c r="Y63" s="1"/>
  <c r="W63"/>
  <c r="Z63" s="1"/>
  <c r="V64"/>
  <c r="Y64" s="1"/>
  <c r="AA64" s="1"/>
  <c r="W64"/>
  <c r="Z64" s="1"/>
  <c r="V65"/>
  <c r="Y65" s="1"/>
  <c r="AH65" s="1"/>
  <c r="W65"/>
  <c r="Z65" s="1"/>
  <c r="V66"/>
  <c r="Y66" s="1"/>
  <c r="W66"/>
  <c r="Z66" s="1"/>
  <c r="V67"/>
  <c r="Y67" s="1"/>
  <c r="W67"/>
  <c r="Z67" s="1"/>
  <c r="V68"/>
  <c r="Y68" s="1"/>
  <c r="W68"/>
  <c r="Z68" s="1"/>
  <c r="V69"/>
  <c r="Y69" s="1"/>
  <c r="AA69" s="1"/>
  <c r="W69"/>
  <c r="Z69" s="1"/>
  <c r="V70"/>
  <c r="Y70" s="1"/>
  <c r="AH70" s="1"/>
  <c r="W70"/>
  <c r="Z70" s="1"/>
  <c r="V71"/>
  <c r="Y71" s="1"/>
  <c r="W71"/>
  <c r="Z71" s="1"/>
  <c r="V72"/>
  <c r="Y72" s="1"/>
  <c r="AH72" s="1"/>
  <c r="W72"/>
  <c r="Z72" s="1"/>
  <c r="V73"/>
  <c r="Y73" s="1"/>
  <c r="AH73" s="1"/>
  <c r="W73"/>
  <c r="Z73" s="1"/>
  <c r="V74"/>
  <c r="Y74" s="1"/>
  <c r="W74"/>
  <c r="Z74" s="1"/>
  <c r="V75"/>
  <c r="Y75" s="1"/>
  <c r="W75"/>
  <c r="Z75" s="1"/>
  <c r="V76"/>
  <c r="Y76" s="1"/>
  <c r="AE76" s="1"/>
  <c r="W76"/>
  <c r="Z76" s="1"/>
  <c r="V77"/>
  <c r="Y77" s="1"/>
  <c r="AA77" s="1"/>
  <c r="W77"/>
  <c r="Z77" s="1"/>
  <c r="V78"/>
  <c r="Y78" s="1"/>
  <c r="AH78" s="1"/>
  <c r="W78"/>
  <c r="Z78" s="1"/>
  <c r="V79"/>
  <c r="Y79" s="1"/>
  <c r="W79"/>
  <c r="Z79" s="1"/>
  <c r="V80"/>
  <c r="Y80" s="1"/>
  <c r="W80"/>
  <c r="Z80" s="1"/>
  <c r="V81"/>
  <c r="Y81" s="1"/>
  <c r="AH81" s="1"/>
  <c r="W81"/>
  <c r="Z81" s="1"/>
  <c r="V82"/>
  <c r="Y82" s="1"/>
  <c r="W82"/>
  <c r="Z82" s="1"/>
  <c r="V83"/>
  <c r="Y83" s="1"/>
  <c r="W83"/>
  <c r="Z83" s="1"/>
  <c r="V84"/>
  <c r="Y84" s="1"/>
  <c r="AH84" s="1"/>
  <c r="W84"/>
  <c r="Z84" s="1"/>
  <c r="V85"/>
  <c r="Y85" s="1"/>
  <c r="W85"/>
  <c r="Z85" s="1"/>
  <c r="V86"/>
  <c r="Y86" s="1"/>
  <c r="AH86" s="1"/>
  <c r="W86"/>
  <c r="Z86" s="1"/>
  <c r="V87"/>
  <c r="Y87" s="1"/>
  <c r="W87"/>
  <c r="Z87" s="1"/>
  <c r="V88"/>
  <c r="Y88" s="1"/>
  <c r="AE88" s="1"/>
  <c r="W88"/>
  <c r="Z88" s="1"/>
  <c r="V89"/>
  <c r="Y89" s="1"/>
  <c r="AA89" s="1"/>
  <c r="W89"/>
  <c r="Z89" s="1"/>
  <c r="V90"/>
  <c r="Y90" s="1"/>
  <c r="W90"/>
  <c r="Z90" s="1"/>
  <c r="V91"/>
  <c r="Y91" s="1"/>
  <c r="W91"/>
  <c r="Z91" s="1"/>
  <c r="V92"/>
  <c r="Y92" s="1"/>
  <c r="W92"/>
  <c r="Z92" s="1"/>
  <c r="V93"/>
  <c r="Y93" s="1"/>
  <c r="AH93" s="1"/>
  <c r="W93"/>
  <c r="Z93" s="1"/>
  <c r="V94"/>
  <c r="Y94" s="1"/>
  <c r="AH94" s="1"/>
  <c r="W94"/>
  <c r="Z94" s="1"/>
  <c r="V95"/>
  <c r="Y95" s="1"/>
  <c r="W95"/>
  <c r="Z95" s="1"/>
  <c r="V96"/>
  <c r="Y96" s="1"/>
  <c r="AA96" s="1"/>
  <c r="W96"/>
  <c r="Z96" s="1"/>
  <c r="V97"/>
  <c r="Y97" s="1"/>
  <c r="AH97" s="1"/>
  <c r="W97"/>
  <c r="Z97" s="1"/>
  <c r="V98"/>
  <c r="Y98" s="1"/>
  <c r="W98"/>
  <c r="Z98" s="1"/>
  <c r="V99"/>
  <c r="Y99" s="1"/>
  <c r="W99"/>
  <c r="Z99" s="1"/>
  <c r="V100"/>
  <c r="Y100" s="1"/>
  <c r="W100"/>
  <c r="Z100" s="1"/>
  <c r="V101"/>
  <c r="Y101" s="1"/>
  <c r="W101"/>
  <c r="Z101" s="1"/>
  <c r="V102"/>
  <c r="Y102" s="1"/>
  <c r="AH102" s="1"/>
  <c r="W102"/>
  <c r="Z102" s="1"/>
  <c r="V103"/>
  <c r="Y103" s="1"/>
  <c r="W103"/>
  <c r="Z103" s="1"/>
  <c r="V104"/>
  <c r="Y104" s="1"/>
  <c r="W104"/>
  <c r="Z104" s="1"/>
  <c r="V105"/>
  <c r="Y105" s="1"/>
  <c r="AH105" s="1"/>
  <c r="W105"/>
  <c r="Z105" s="1"/>
  <c r="V106"/>
  <c r="Y106" s="1"/>
  <c r="W106"/>
  <c r="Z106" s="1"/>
  <c r="V107"/>
  <c r="Y107" s="1"/>
  <c r="W107"/>
  <c r="Z107" s="1"/>
  <c r="V108"/>
  <c r="Y108" s="1"/>
  <c r="AE108" s="1"/>
  <c r="W108"/>
  <c r="Z108" s="1"/>
  <c r="V109"/>
  <c r="Y109" s="1"/>
  <c r="AH109" s="1"/>
  <c r="W109"/>
  <c r="Z109" s="1"/>
  <c r="V110"/>
  <c r="Y110" s="1"/>
  <c r="AH110" s="1"/>
  <c r="W110"/>
  <c r="Z110" s="1"/>
  <c r="V111"/>
  <c r="Y111" s="1"/>
  <c r="W111"/>
  <c r="Z111" s="1"/>
  <c r="V112"/>
  <c r="Y112" s="1"/>
  <c r="W112"/>
  <c r="Z112" s="1"/>
  <c r="V113"/>
  <c r="Y113" s="1"/>
  <c r="AE113" s="1"/>
  <c r="W113"/>
  <c r="Z113" s="1"/>
  <c r="V114"/>
  <c r="Y114" s="1"/>
  <c r="W114"/>
  <c r="Z114" s="1"/>
  <c r="V115"/>
  <c r="Y115" s="1"/>
  <c r="W115"/>
  <c r="Z115" s="1"/>
  <c r="V116"/>
  <c r="Y116" s="1"/>
  <c r="AA116" s="1"/>
  <c r="W116"/>
  <c r="Z116" s="1"/>
  <c r="V117"/>
  <c r="Y117" s="1"/>
  <c r="AH117" s="1"/>
  <c r="W117"/>
  <c r="Z117" s="1"/>
  <c r="V118"/>
  <c r="Y118" s="1"/>
  <c r="AH118" s="1"/>
  <c r="W118"/>
  <c r="Z118" s="1"/>
  <c r="V119"/>
  <c r="Y119" s="1"/>
  <c r="W119"/>
  <c r="Z119" s="1"/>
  <c r="V120"/>
  <c r="W120"/>
  <c r="Z120" s="1"/>
  <c r="V121"/>
  <c r="W121"/>
  <c r="Z121" s="1"/>
  <c r="V122"/>
  <c r="Y122" s="1"/>
  <c r="AH122" s="1"/>
  <c r="W122"/>
  <c r="Z122" s="1"/>
  <c r="V123"/>
  <c r="W123"/>
  <c r="Z123" s="1"/>
  <c r="V124"/>
  <c r="Y124" s="1"/>
  <c r="AE124" s="1"/>
  <c r="W124"/>
  <c r="Z124" s="1"/>
  <c r="V125"/>
  <c r="W125"/>
  <c r="Z125" s="1"/>
  <c r="V126"/>
  <c r="Y126" s="1"/>
  <c r="AH126" s="1"/>
  <c r="W126"/>
  <c r="Z126" s="1"/>
  <c r="V127"/>
  <c r="W127"/>
  <c r="Z127" s="1"/>
  <c r="V128"/>
  <c r="W128"/>
  <c r="Z128" s="1"/>
  <c r="V129"/>
  <c r="W129"/>
  <c r="Z129" s="1"/>
  <c r="V130"/>
  <c r="Y130" s="1"/>
  <c r="AH130" s="1"/>
  <c r="W130"/>
  <c r="Z130" s="1"/>
  <c r="V131"/>
  <c r="W131"/>
  <c r="Z131" s="1"/>
  <c r="V132"/>
  <c r="Y132" s="1"/>
  <c r="W132"/>
  <c r="Z132" s="1"/>
  <c r="V133"/>
  <c r="W133"/>
  <c r="Z133" s="1"/>
  <c r="V134"/>
  <c r="Y134" s="1"/>
  <c r="AH134" s="1"/>
  <c r="W134"/>
  <c r="Z134" s="1"/>
  <c r="V135"/>
  <c r="W135"/>
  <c r="Z135" s="1"/>
  <c r="V136"/>
  <c r="Y136" s="1"/>
  <c r="W136"/>
  <c r="Z136" s="1"/>
  <c r="V137"/>
  <c r="W137"/>
  <c r="Z137" s="1"/>
  <c r="V138"/>
  <c r="Y138" s="1"/>
  <c r="AH138" s="1"/>
  <c r="W138"/>
  <c r="Z138" s="1"/>
  <c r="V139"/>
  <c r="Y139" s="1"/>
  <c r="W139"/>
  <c r="Z139" s="1"/>
  <c r="V140"/>
  <c r="Y140" s="1"/>
  <c r="W140"/>
  <c r="Z140" s="1"/>
  <c r="V141"/>
  <c r="W141"/>
  <c r="Z141" s="1"/>
  <c r="V142"/>
  <c r="Y142" s="1"/>
  <c r="AH142" s="1"/>
  <c r="W142"/>
  <c r="Z142" s="1"/>
  <c r="V143"/>
  <c r="W143"/>
  <c r="Z143" s="1"/>
  <c r="V144"/>
  <c r="Y144" s="1"/>
  <c r="AH144" s="1"/>
  <c r="W144"/>
  <c r="Z144" s="1"/>
  <c r="V145"/>
  <c r="W145"/>
  <c r="Z145" s="1"/>
  <c r="V146"/>
  <c r="Y146" s="1"/>
  <c r="W146"/>
  <c r="Z146" s="1"/>
  <c r="V147"/>
  <c r="W147"/>
  <c r="Z147" s="1"/>
  <c r="V148"/>
  <c r="W148"/>
  <c r="Z148" s="1"/>
  <c r="V149"/>
  <c r="W149"/>
  <c r="Z149" s="1"/>
  <c r="V150"/>
  <c r="Y150" s="1"/>
  <c r="AH150" s="1"/>
  <c r="W150"/>
  <c r="Z150" s="1"/>
  <c r="V151"/>
  <c r="W151"/>
  <c r="Z151" s="1"/>
  <c r="V152"/>
  <c r="Y152" s="1"/>
  <c r="AE152" s="1"/>
  <c r="W152"/>
  <c r="Z152" s="1"/>
  <c r="V153"/>
  <c r="W153"/>
  <c r="Z153" s="1"/>
  <c r="V154"/>
  <c r="Y154" s="1"/>
  <c r="W154"/>
  <c r="Z154" s="1"/>
  <c r="V155"/>
  <c r="Y155" s="1"/>
  <c r="W155"/>
  <c r="Z155" s="1"/>
  <c r="V156"/>
  <c r="Y156" s="1"/>
  <c r="W156"/>
  <c r="Z156" s="1"/>
  <c r="V157"/>
  <c r="W157"/>
  <c r="Z157" s="1"/>
  <c r="V158"/>
  <c r="Y158" s="1"/>
  <c r="AH158" s="1"/>
  <c r="W158"/>
  <c r="Z158" s="1"/>
  <c r="V159"/>
  <c r="W159"/>
  <c r="Z159" s="1"/>
  <c r="V160"/>
  <c r="Y160" s="1"/>
  <c r="W160"/>
  <c r="Z160" s="1"/>
  <c r="V161"/>
  <c r="W161"/>
  <c r="Z161" s="1"/>
  <c r="V162"/>
  <c r="Y162" s="1"/>
  <c r="AH162" s="1"/>
  <c r="W162"/>
  <c r="Z162" s="1"/>
  <c r="V163"/>
  <c r="W163"/>
  <c r="Z163" s="1"/>
  <c r="V164"/>
  <c r="Y164" s="1"/>
  <c r="W164"/>
  <c r="Z164" s="1"/>
  <c r="V165"/>
  <c r="W165"/>
  <c r="Z165" s="1"/>
  <c r="V166"/>
  <c r="Y166" s="1"/>
  <c r="AH166" s="1"/>
  <c r="W166"/>
  <c r="Z166" s="1"/>
  <c r="V167"/>
  <c r="W167"/>
  <c r="Z167" s="1"/>
  <c r="V168"/>
  <c r="Y168" s="1"/>
  <c r="W168"/>
  <c r="Z168" s="1"/>
  <c r="V169"/>
  <c r="W169"/>
  <c r="Z169" s="1"/>
  <c r="V170"/>
  <c r="Y170" s="1"/>
  <c r="AH170" s="1"/>
  <c r="W170"/>
  <c r="Z170" s="1"/>
  <c r="V171"/>
  <c r="Y171" s="1"/>
  <c r="AH171" s="1"/>
  <c r="W171"/>
  <c r="Z171" s="1"/>
  <c r="V172"/>
  <c r="Y172" s="1"/>
  <c r="AH172" s="1"/>
  <c r="W172"/>
  <c r="Z172" s="1"/>
  <c r="V173"/>
  <c r="W173"/>
  <c r="Z173" s="1"/>
  <c r="V174"/>
  <c r="Y174" s="1"/>
  <c r="AH174" s="1"/>
  <c r="W174"/>
  <c r="Z174" s="1"/>
  <c r="V175"/>
  <c r="W175"/>
  <c r="Z175" s="1"/>
  <c r="V176"/>
  <c r="Y176" s="1"/>
  <c r="AH176" s="1"/>
  <c r="W176"/>
  <c r="Z176" s="1"/>
  <c r="V177"/>
  <c r="W177"/>
  <c r="Z177" s="1"/>
  <c r="V178"/>
  <c r="Y178" s="1"/>
  <c r="AH178" s="1"/>
  <c r="W178"/>
  <c r="Z178" s="1"/>
  <c r="V179"/>
  <c r="W179"/>
  <c r="Z179" s="1"/>
  <c r="V180"/>
  <c r="W180"/>
  <c r="Z180" s="1"/>
  <c r="V181"/>
  <c r="W181"/>
  <c r="Z181" s="1"/>
  <c r="V182"/>
  <c r="Y182" s="1"/>
  <c r="AH182" s="1"/>
  <c r="W182"/>
  <c r="Z182" s="1"/>
  <c r="V183"/>
  <c r="W183"/>
  <c r="Z183" s="1"/>
  <c r="V184"/>
  <c r="Y184" s="1"/>
  <c r="AA184" s="1"/>
  <c r="W184"/>
  <c r="Z184" s="1"/>
  <c r="V185"/>
  <c r="W185"/>
  <c r="Z185" s="1"/>
  <c r="V186"/>
  <c r="Y186" s="1"/>
  <c r="W186"/>
  <c r="Z186" s="1"/>
  <c r="V187"/>
  <c r="W187"/>
  <c r="Z187" s="1"/>
  <c r="V188"/>
  <c r="Y188" s="1"/>
  <c r="AE188" s="1"/>
  <c r="W188"/>
  <c r="Z188" s="1"/>
  <c r="V189"/>
  <c r="W189"/>
  <c r="Z189" s="1"/>
  <c r="V190"/>
  <c r="Y190" s="1"/>
  <c r="AH190" s="1"/>
  <c r="W190"/>
  <c r="Z190" s="1"/>
  <c r="V191"/>
  <c r="W191"/>
  <c r="V192"/>
  <c r="Y192" s="1"/>
  <c r="W192"/>
  <c r="Z192" s="1"/>
  <c r="V193"/>
  <c r="W193"/>
  <c r="Z193" s="1"/>
  <c r="V194"/>
  <c r="Y194" s="1"/>
  <c r="AH194" s="1"/>
  <c r="W194"/>
  <c r="Z194" s="1"/>
  <c r="V195"/>
  <c r="W195"/>
  <c r="Z195" s="1"/>
  <c r="V196"/>
  <c r="Y196" s="1"/>
  <c r="W196"/>
  <c r="Z196" s="1"/>
  <c r="V197"/>
  <c r="W197"/>
  <c r="Z197" s="1"/>
  <c r="V198"/>
  <c r="Y198" s="1"/>
  <c r="AH198" s="1"/>
  <c r="W198"/>
  <c r="Z198" s="1"/>
  <c r="V199"/>
  <c r="W199"/>
  <c r="Z199" s="1"/>
  <c r="V200"/>
  <c r="Y200" s="1"/>
  <c r="W200"/>
  <c r="Z200" s="1"/>
  <c r="V201"/>
  <c r="W201"/>
  <c r="Z201" s="1"/>
  <c r="V202"/>
  <c r="Y202" s="1"/>
  <c r="AH202" s="1"/>
  <c r="W202"/>
  <c r="Z202" s="1"/>
  <c r="V203"/>
  <c r="Y203" s="1"/>
  <c r="W203"/>
  <c r="Z203" s="1"/>
  <c r="V204"/>
  <c r="Y204" s="1"/>
  <c r="W204"/>
  <c r="Z204" s="1"/>
  <c r="V205"/>
  <c r="W205"/>
  <c r="Z205" s="1"/>
  <c r="V206"/>
  <c r="Y206" s="1"/>
  <c r="AH206" s="1"/>
  <c r="W206"/>
  <c r="Z206" s="1"/>
  <c r="V207"/>
  <c r="W207"/>
  <c r="Z207" s="1"/>
  <c r="V208"/>
  <c r="Y208" s="1"/>
  <c r="AH208" s="1"/>
  <c r="W208"/>
  <c r="Z208" s="1"/>
  <c r="V209"/>
  <c r="W209"/>
  <c r="Z209" s="1"/>
  <c r="V210"/>
  <c r="Y210" s="1"/>
  <c r="W210"/>
  <c r="Z210" s="1"/>
  <c r="V211"/>
  <c r="W211"/>
  <c r="Z211" s="1"/>
  <c r="V212"/>
  <c r="Y212" s="1"/>
  <c r="AH212" s="1"/>
  <c r="W212"/>
  <c r="Z212" s="1"/>
  <c r="V213"/>
  <c r="W213"/>
  <c r="Z213" s="1"/>
  <c r="V214"/>
  <c r="Y214" s="1"/>
  <c r="AH214" s="1"/>
  <c r="W214"/>
  <c r="Z214" s="1"/>
  <c r="V215"/>
  <c r="W215"/>
  <c r="Z215" s="1"/>
  <c r="V216"/>
  <c r="Y216" s="1"/>
  <c r="W216"/>
  <c r="Z216" s="1"/>
  <c r="V217"/>
  <c r="W217"/>
  <c r="Z217" s="1"/>
  <c r="V218"/>
  <c r="Y218" s="1"/>
  <c r="W218"/>
  <c r="Z218" s="1"/>
  <c r="V219"/>
  <c r="Y219" s="1"/>
  <c r="W219"/>
  <c r="Z219" s="1"/>
  <c r="V220"/>
  <c r="Y220" s="1"/>
  <c r="W220"/>
  <c r="Z220" s="1"/>
  <c r="V221"/>
  <c r="W221"/>
  <c r="Z221" s="1"/>
  <c r="V222"/>
  <c r="W222"/>
  <c r="Z222" s="1"/>
  <c r="V223"/>
  <c r="Y223" s="1"/>
  <c r="W223"/>
  <c r="Z223" s="1"/>
  <c r="V224"/>
  <c r="W224"/>
  <c r="Z224" s="1"/>
  <c r="V225"/>
  <c r="W225"/>
  <c r="Z225" s="1"/>
  <c r="V226"/>
  <c r="Y226" s="1"/>
  <c r="W226"/>
  <c r="Z226" s="1"/>
  <c r="V227"/>
  <c r="Y227" s="1"/>
  <c r="W227"/>
  <c r="Z227" s="1"/>
  <c r="V228"/>
  <c r="W228"/>
  <c r="Z228" s="1"/>
  <c r="V229"/>
  <c r="W229"/>
  <c r="Z229" s="1"/>
  <c r="V230"/>
  <c r="W230"/>
  <c r="Z230" s="1"/>
  <c r="V231"/>
  <c r="Y231" s="1"/>
  <c r="W231"/>
  <c r="Z231" s="1"/>
  <c r="V232"/>
  <c r="W232"/>
  <c r="Z232" s="1"/>
  <c r="V233"/>
  <c r="W233"/>
  <c r="Z233" s="1"/>
  <c r="V234"/>
  <c r="W234"/>
  <c r="Z234" s="1"/>
  <c r="V235"/>
  <c r="W235"/>
  <c r="Z235" s="1"/>
  <c r="V236"/>
  <c r="Y236" s="1"/>
  <c r="W236"/>
  <c r="Z236" s="1"/>
  <c r="V237"/>
  <c r="W237"/>
  <c r="Z237" s="1"/>
  <c r="V238"/>
  <c r="W238"/>
  <c r="Z238" s="1"/>
  <c r="V239"/>
  <c r="Y239" s="1"/>
  <c r="W239"/>
  <c r="Z239" s="1"/>
  <c r="V240"/>
  <c r="W240"/>
  <c r="Z240" s="1"/>
  <c r="V241"/>
  <c r="W241"/>
  <c r="Z241" s="1"/>
  <c r="V242"/>
  <c r="Y242" s="1"/>
  <c r="W242"/>
  <c r="Z242" s="1"/>
  <c r="V243"/>
  <c r="Y243" s="1"/>
  <c r="W243"/>
  <c r="Z243" s="1"/>
  <c r="V244"/>
  <c r="W244"/>
  <c r="Z244" s="1"/>
  <c r="V245"/>
  <c r="W245"/>
  <c r="Z245" s="1"/>
  <c r="V246"/>
  <c r="W246"/>
  <c r="Z246" s="1"/>
  <c r="V247"/>
  <c r="W247"/>
  <c r="Z247" s="1"/>
  <c r="V248"/>
  <c r="W248"/>
  <c r="Z248" s="1"/>
  <c r="V249"/>
  <c r="W249"/>
  <c r="Z249" s="1"/>
  <c r="V250"/>
  <c r="W250"/>
  <c r="Z250" s="1"/>
  <c r="V251"/>
  <c r="W251"/>
  <c r="Z251" s="1"/>
  <c r="V252"/>
  <c r="W252"/>
  <c r="Z252" s="1"/>
  <c r="V253"/>
  <c r="W253"/>
  <c r="Z253" s="1"/>
  <c r="V254"/>
  <c r="W254"/>
  <c r="Z254" s="1"/>
  <c r="V255"/>
  <c r="Y255" s="1"/>
  <c r="W255"/>
  <c r="Z255" s="1"/>
  <c r="V256"/>
  <c r="W256"/>
  <c r="Z256" s="1"/>
  <c r="V257"/>
  <c r="W257"/>
  <c r="Z257" s="1"/>
  <c r="V258"/>
  <c r="Y258" s="1"/>
  <c r="W258"/>
  <c r="Z258" s="1"/>
  <c r="V259"/>
  <c r="Y259" s="1"/>
  <c r="W259"/>
  <c r="Z259" s="1"/>
  <c r="V260"/>
  <c r="V261"/>
  <c r="V262"/>
  <c r="Z262"/>
  <c r="V263"/>
  <c r="Z263"/>
  <c r="V264"/>
  <c r="Z264"/>
  <c r="V265"/>
  <c r="V266"/>
  <c r="Z266"/>
  <c r="V267"/>
  <c r="Z267"/>
  <c r="V268"/>
  <c r="V269"/>
  <c r="W29"/>
  <c r="Z29" s="1"/>
  <c r="V29"/>
  <c r="Y29" s="1"/>
  <c r="AA29" s="1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29"/>
  <c r="U30" s="1"/>
  <c r="AH41"/>
  <c r="AH113"/>
  <c r="AE41"/>
  <c r="AE109"/>
  <c r="AF109" s="1"/>
  <c r="AA45"/>
  <c r="AA61"/>
  <c r="AA81"/>
  <c r="AA85"/>
  <c r="AA113"/>
  <c r="AA117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5"/>
  <c r="Y28" i="1"/>
  <c r="Z28"/>
  <c r="AB28" s="1"/>
  <c r="Z27"/>
  <c r="Y27"/>
  <c r="AB29" i="8" l="1"/>
  <c r="Y114"/>
  <c r="X29"/>
  <c r="Y29" s="1"/>
  <c r="X193"/>
  <c r="Y193" s="1"/>
  <c r="Y118"/>
  <c r="Y98"/>
  <c r="Y102"/>
  <c r="AB167"/>
  <c r="AB200"/>
  <c r="AB146"/>
  <c r="AA30"/>
  <c r="AB30" s="1"/>
  <c r="AB44"/>
  <c r="AB57"/>
  <c r="Y70"/>
  <c r="Y82"/>
  <c r="Y113"/>
  <c r="Y94"/>
  <c r="Y106"/>
  <c r="Y108"/>
  <c r="Y110"/>
  <c r="AB122"/>
  <c r="AB142"/>
  <c r="Y77"/>
  <c r="Y128"/>
  <c r="Y168"/>
  <c r="X43"/>
  <c r="AA43"/>
  <c r="AB43" s="1"/>
  <c r="X163"/>
  <c r="AA163"/>
  <c r="Y64"/>
  <c r="Y78"/>
  <c r="Y90"/>
  <c r="Y124"/>
  <c r="Y133"/>
  <c r="X52"/>
  <c r="Y52" s="1"/>
  <c r="AA52"/>
  <c r="AB52" s="1"/>
  <c r="X56"/>
  <c r="AA56"/>
  <c r="X159"/>
  <c r="Y159" s="1"/>
  <c r="AA159"/>
  <c r="AB159" s="1"/>
  <c r="Y69"/>
  <c r="Y86"/>
  <c r="Y117"/>
  <c r="AA182"/>
  <c r="AB182" s="1"/>
  <c r="Y47"/>
  <c r="Y60"/>
  <c r="Y105"/>
  <c r="AA196"/>
  <c r="AB196" s="1"/>
  <c r="AA199"/>
  <c r="AB199" s="1"/>
  <c r="AB34"/>
  <c r="AB38"/>
  <c r="Y51"/>
  <c r="Y109"/>
  <c r="Y132"/>
  <c r="Y163"/>
  <c r="X32"/>
  <c r="AA32"/>
  <c r="AB32" s="1"/>
  <c r="X39"/>
  <c r="Y39" s="1"/>
  <c r="AA39"/>
  <c r="AB39" s="1"/>
  <c r="AC38" s="1"/>
  <c r="Y43"/>
  <c r="Y56"/>
  <c r="AB56"/>
  <c r="X35"/>
  <c r="Y35" s="1"/>
  <c r="AA35"/>
  <c r="AB35" s="1"/>
  <c r="X42"/>
  <c r="Y42" s="1"/>
  <c r="AA42"/>
  <c r="AB42" s="1"/>
  <c r="X55"/>
  <c r="Y55" s="1"/>
  <c r="AA55"/>
  <c r="AB55" s="1"/>
  <c r="AA65"/>
  <c r="AB65" s="1"/>
  <c r="X65"/>
  <c r="Y65" s="1"/>
  <c r="X31"/>
  <c r="Y31" s="1"/>
  <c r="AA31"/>
  <c r="AB31" s="1"/>
  <c r="AA46"/>
  <c r="AB46" s="1"/>
  <c r="X46"/>
  <c r="Y46" s="1"/>
  <c r="AA59"/>
  <c r="AB59" s="1"/>
  <c r="X59"/>
  <c r="Y59" s="1"/>
  <c r="Y50"/>
  <c r="Y63"/>
  <c r="X36"/>
  <c r="Y36" s="1"/>
  <c r="AA36"/>
  <c r="AB36" s="1"/>
  <c r="AA48"/>
  <c r="AB48" s="1"/>
  <c r="X48"/>
  <c r="Y48" s="1"/>
  <c r="AA61"/>
  <c r="AB61" s="1"/>
  <c r="X61"/>
  <c r="Y32"/>
  <c r="Y74"/>
  <c r="AA66"/>
  <c r="AB66" s="1"/>
  <c r="X68"/>
  <c r="AA69"/>
  <c r="AB69" s="1"/>
  <c r="X71"/>
  <c r="Y71" s="1"/>
  <c r="X76"/>
  <c r="AA77"/>
  <c r="AB77" s="1"/>
  <c r="X79"/>
  <c r="Y79" s="1"/>
  <c r="AA91"/>
  <c r="AB91" s="1"/>
  <c r="X91"/>
  <c r="Y91" s="1"/>
  <c r="AA95"/>
  <c r="AB95" s="1"/>
  <c r="X95"/>
  <c r="Y95" s="1"/>
  <c r="AA99"/>
  <c r="AB99" s="1"/>
  <c r="X99"/>
  <c r="Y99" s="1"/>
  <c r="X33"/>
  <c r="Y33" s="1"/>
  <c r="X37"/>
  <c r="Y37" s="1"/>
  <c r="X40"/>
  <c r="Y40" s="1"/>
  <c r="AA40"/>
  <c r="AB40" s="1"/>
  <c r="AA47"/>
  <c r="AB47" s="1"/>
  <c r="X49"/>
  <c r="Y49" s="1"/>
  <c r="AA50"/>
  <c r="AB50" s="1"/>
  <c r="X53"/>
  <c r="AA53"/>
  <c r="AB53" s="1"/>
  <c r="AA60"/>
  <c r="AB60" s="1"/>
  <c r="X62"/>
  <c r="Y62" s="1"/>
  <c r="AA63"/>
  <c r="AB63" s="1"/>
  <c r="AA68"/>
  <c r="AB68" s="1"/>
  <c r="AA71"/>
  <c r="AB71" s="1"/>
  <c r="AA76"/>
  <c r="AB76" s="1"/>
  <c r="AA79"/>
  <c r="AB79" s="1"/>
  <c r="Y85"/>
  <c r="Y89"/>
  <c r="Y93"/>
  <c r="Y97"/>
  <c r="AA41"/>
  <c r="AB41" s="1"/>
  <c r="AA54"/>
  <c r="AB54" s="1"/>
  <c r="AA70"/>
  <c r="AB70" s="1"/>
  <c r="AA78"/>
  <c r="AB78" s="1"/>
  <c r="X30"/>
  <c r="Y30" s="1"/>
  <c r="X34"/>
  <c r="Y34" s="1"/>
  <c r="X38"/>
  <c r="Y38" s="1"/>
  <c r="Y41"/>
  <c r="X44"/>
  <c r="AA51"/>
  <c r="AB51" s="1"/>
  <c r="Y53"/>
  <c r="Y54"/>
  <c r="X57"/>
  <c r="AA64"/>
  <c r="AB64" s="1"/>
  <c r="AC64" s="1"/>
  <c r="X66"/>
  <c r="Y66" s="1"/>
  <c r="Y100"/>
  <c r="Y104"/>
  <c r="Y116"/>
  <c r="AA45"/>
  <c r="AB45" s="1"/>
  <c r="AA58"/>
  <c r="AB58" s="1"/>
  <c r="X67"/>
  <c r="Y67" s="1"/>
  <c r="X72"/>
  <c r="Y72" s="1"/>
  <c r="AA73"/>
  <c r="AB73" s="1"/>
  <c r="X75"/>
  <c r="Y75" s="1"/>
  <c r="X80"/>
  <c r="Y80" s="1"/>
  <c r="AA81"/>
  <c r="AB81" s="1"/>
  <c r="X83"/>
  <c r="Y83" s="1"/>
  <c r="AA87"/>
  <c r="AB87" s="1"/>
  <c r="X87"/>
  <c r="Y87" s="1"/>
  <c r="AA88"/>
  <c r="AB88" s="1"/>
  <c r="X88"/>
  <c r="Y88" s="1"/>
  <c r="AA92"/>
  <c r="AB92" s="1"/>
  <c r="X92"/>
  <c r="Y92" s="1"/>
  <c r="AA96"/>
  <c r="AB96" s="1"/>
  <c r="X96"/>
  <c r="Y96" s="1"/>
  <c r="AA103"/>
  <c r="AB103" s="1"/>
  <c r="X103"/>
  <c r="Y103" s="1"/>
  <c r="AA33"/>
  <c r="AB33" s="1"/>
  <c r="AA37"/>
  <c r="AB37" s="1"/>
  <c r="Y44"/>
  <c r="Y57"/>
  <c r="AA67"/>
  <c r="AB67" s="1"/>
  <c r="AA72"/>
  <c r="AB72" s="1"/>
  <c r="AA75"/>
  <c r="AB75" s="1"/>
  <c r="AA80"/>
  <c r="AB80" s="1"/>
  <c r="AA83"/>
  <c r="AB83" s="1"/>
  <c r="Y112"/>
  <c r="AA49"/>
  <c r="AB49" s="1"/>
  <c r="AA62"/>
  <c r="AB62" s="1"/>
  <c r="AA74"/>
  <c r="AB74" s="1"/>
  <c r="AA82"/>
  <c r="AB82" s="1"/>
  <c r="AA86"/>
  <c r="AB86" s="1"/>
  <c r="AC86" s="1"/>
  <c r="AG7"/>
  <c r="X45"/>
  <c r="Y45" s="1"/>
  <c r="X58"/>
  <c r="Y58" s="1"/>
  <c r="Y61"/>
  <c r="Y68"/>
  <c r="X73"/>
  <c r="Y73" s="1"/>
  <c r="Y76"/>
  <c r="X81"/>
  <c r="Y81" s="1"/>
  <c r="Y101"/>
  <c r="AA90"/>
  <c r="AB90" s="1"/>
  <c r="AA94"/>
  <c r="AB94" s="1"/>
  <c r="AA98"/>
  <c r="AB98" s="1"/>
  <c r="AA102"/>
  <c r="AB102" s="1"/>
  <c r="AA106"/>
  <c r="AB106" s="1"/>
  <c r="AA110"/>
  <c r="AB110" s="1"/>
  <c r="AA114"/>
  <c r="AB114" s="1"/>
  <c r="AA118"/>
  <c r="AB118" s="1"/>
  <c r="X121"/>
  <c r="AA127"/>
  <c r="AB127" s="1"/>
  <c r="AA133"/>
  <c r="AB133" s="1"/>
  <c r="Z132"/>
  <c r="X140"/>
  <c r="AA140"/>
  <c r="AB140" s="1"/>
  <c r="AA175"/>
  <c r="AB175" s="1"/>
  <c r="X175"/>
  <c r="AA121"/>
  <c r="AB121" s="1"/>
  <c r="AC121" s="1"/>
  <c r="T353"/>
  <c r="T382"/>
  <c r="W382" s="1"/>
  <c r="T389"/>
  <c r="T390"/>
  <c r="W390" s="1"/>
  <c r="AA107"/>
  <c r="AB107" s="1"/>
  <c r="AA111"/>
  <c r="AB111" s="1"/>
  <c r="AA115"/>
  <c r="AB115" s="1"/>
  <c r="AA119"/>
  <c r="AB119" s="1"/>
  <c r="T347"/>
  <c r="T354"/>
  <c r="W354" s="1"/>
  <c r="AB150"/>
  <c r="T373"/>
  <c r="AB163"/>
  <c r="T398"/>
  <c r="W398" s="1"/>
  <c r="AA100"/>
  <c r="AB100" s="1"/>
  <c r="AA104"/>
  <c r="AB104" s="1"/>
  <c r="AA108"/>
  <c r="AB108" s="1"/>
  <c r="AA112"/>
  <c r="AB112" s="1"/>
  <c r="AA116"/>
  <c r="AB116" s="1"/>
  <c r="AA137"/>
  <c r="AB137" s="1"/>
  <c r="X158"/>
  <c r="AA158"/>
  <c r="AB158" s="1"/>
  <c r="X182"/>
  <c r="X183"/>
  <c r="Y183" s="1"/>
  <c r="AA183"/>
  <c r="AB183" s="1"/>
  <c r="T345"/>
  <c r="T350"/>
  <c r="W350" s="1"/>
  <c r="T357"/>
  <c r="T365"/>
  <c r="T366"/>
  <c r="W366" s="1"/>
  <c r="AA156"/>
  <c r="AB156" s="1"/>
  <c r="T394"/>
  <c r="W394" s="1"/>
  <c r="X84"/>
  <c r="Y84" s="1"/>
  <c r="AA85"/>
  <c r="AB85" s="1"/>
  <c r="AA89"/>
  <c r="AB89" s="1"/>
  <c r="AA93"/>
  <c r="AB93" s="1"/>
  <c r="AA97"/>
  <c r="AB97" s="1"/>
  <c r="AA101"/>
  <c r="AB101" s="1"/>
  <c r="AA105"/>
  <c r="AB105" s="1"/>
  <c r="AA109"/>
  <c r="AB109" s="1"/>
  <c r="AA113"/>
  <c r="AB113" s="1"/>
  <c r="AA117"/>
  <c r="AB117" s="1"/>
  <c r="X144"/>
  <c r="Y144" s="1"/>
  <c r="AA144"/>
  <c r="AB144" s="1"/>
  <c r="X162"/>
  <c r="Y162" s="1"/>
  <c r="AA162"/>
  <c r="AB162" s="1"/>
  <c r="X171"/>
  <c r="Y171" s="1"/>
  <c r="AA171"/>
  <c r="AB171" s="1"/>
  <c r="Y188"/>
  <c r="AA84"/>
  <c r="AB84" s="1"/>
  <c r="X107"/>
  <c r="Y107" s="1"/>
  <c r="X111"/>
  <c r="Y111" s="1"/>
  <c r="X115"/>
  <c r="Y115" s="1"/>
  <c r="X119"/>
  <c r="Y119" s="1"/>
  <c r="AA124"/>
  <c r="AB124" s="1"/>
  <c r="X127"/>
  <c r="Y127" s="1"/>
  <c r="T349"/>
  <c r="Y136"/>
  <c r="T358"/>
  <c r="W358" s="1"/>
  <c r="X137"/>
  <c r="Y137" s="1"/>
  <c r="T361"/>
  <c r="Y140"/>
  <c r="T362"/>
  <c r="W362" s="1"/>
  <c r="T369"/>
  <c r="AB154"/>
  <c r="X156"/>
  <c r="Y156" s="1"/>
  <c r="T378"/>
  <c r="W378" s="1"/>
  <c r="Y158"/>
  <c r="AB165"/>
  <c r="AB184"/>
  <c r="X148"/>
  <c r="Y148" s="1"/>
  <c r="X152"/>
  <c r="Y152" s="1"/>
  <c r="AA164"/>
  <c r="AB164" s="1"/>
  <c r="X169"/>
  <c r="Y169" s="1"/>
  <c r="AA173"/>
  <c r="AB173" s="1"/>
  <c r="X173"/>
  <c r="Y173" s="1"/>
  <c r="AA177"/>
  <c r="AB177" s="1"/>
  <c r="X177"/>
  <c r="Y177" s="1"/>
  <c r="Y205"/>
  <c r="T370"/>
  <c r="W370" s="1"/>
  <c r="T374"/>
  <c r="W374" s="1"/>
  <c r="T377"/>
  <c r="T381"/>
  <c r="T387"/>
  <c r="W387" s="1"/>
  <c r="T388"/>
  <c r="W388" s="1"/>
  <c r="T396"/>
  <c r="W396" s="1"/>
  <c r="T400"/>
  <c r="T406"/>
  <c r="W406" s="1"/>
  <c r="T407"/>
  <c r="W407" s="1"/>
  <c r="T428"/>
  <c r="X126"/>
  <c r="Y126" s="1"/>
  <c r="AA131"/>
  <c r="AB131" s="1"/>
  <c r="AA135"/>
  <c r="AB135" s="1"/>
  <c r="AA139"/>
  <c r="AB139" s="1"/>
  <c r="AA143"/>
  <c r="AA147"/>
  <c r="AA151"/>
  <c r="AB151" s="1"/>
  <c r="AC150" s="1"/>
  <c r="AA155"/>
  <c r="AB155" s="1"/>
  <c r="AC155" s="1"/>
  <c r="X167"/>
  <c r="Y167" s="1"/>
  <c r="AA170"/>
  <c r="AB170" s="1"/>
  <c r="AC170" s="1"/>
  <c r="X180"/>
  <c r="Y180" s="1"/>
  <c r="AA181"/>
  <c r="AB181" s="1"/>
  <c r="X181"/>
  <c r="Y181" s="1"/>
  <c r="AA197"/>
  <c r="AB197" s="1"/>
  <c r="AC196" s="1"/>
  <c r="X197"/>
  <c r="Y197" s="1"/>
  <c r="X203"/>
  <c r="Y203" s="1"/>
  <c r="AA203"/>
  <c r="AB203" s="1"/>
  <c r="T339"/>
  <c r="T340"/>
  <c r="T341"/>
  <c r="T343"/>
  <c r="W343" s="1"/>
  <c r="T346"/>
  <c r="W346" s="1"/>
  <c r="T351"/>
  <c r="W351" s="1"/>
  <c r="T355"/>
  <c r="T359"/>
  <c r="W359" s="1"/>
  <c r="T363"/>
  <c r="T367"/>
  <c r="W367" s="1"/>
  <c r="T371"/>
  <c r="T375"/>
  <c r="W375" s="1"/>
  <c r="T380"/>
  <c r="T384"/>
  <c r="T385"/>
  <c r="X164"/>
  <c r="Y164" s="1"/>
  <c r="T386"/>
  <c r="W386" s="1"/>
  <c r="Y175"/>
  <c r="AA180"/>
  <c r="AB180" s="1"/>
  <c r="AC180" s="1"/>
  <c r="T408"/>
  <c r="T416"/>
  <c r="T423"/>
  <c r="W423" s="1"/>
  <c r="X122"/>
  <c r="Y122" s="1"/>
  <c r="AA132"/>
  <c r="AB132" s="1"/>
  <c r="AA136"/>
  <c r="AB136" s="1"/>
  <c r="AC136" s="1"/>
  <c r="X142"/>
  <c r="Y142" s="1"/>
  <c r="X146"/>
  <c r="Y146" s="1"/>
  <c r="X150"/>
  <c r="Y150" s="1"/>
  <c r="X154"/>
  <c r="Y154" s="1"/>
  <c r="X165"/>
  <c r="Y165" s="1"/>
  <c r="AA168"/>
  <c r="AB168" s="1"/>
  <c r="X187"/>
  <c r="Y187" s="1"/>
  <c r="AA188"/>
  <c r="X200"/>
  <c r="Y200" s="1"/>
  <c r="X204"/>
  <c r="Y204" s="1"/>
  <c r="Z204" s="1"/>
  <c r="AA204"/>
  <c r="AB204" s="1"/>
  <c r="T342"/>
  <c r="W342" s="1"/>
  <c r="Y121"/>
  <c r="AA126"/>
  <c r="AB126" s="1"/>
  <c r="AA128"/>
  <c r="AB128" s="1"/>
  <c r="T352"/>
  <c r="W352" s="1"/>
  <c r="X131"/>
  <c r="T356"/>
  <c r="X135"/>
  <c r="Y135" s="1"/>
  <c r="Z135" s="1"/>
  <c r="T360"/>
  <c r="W360" s="1"/>
  <c r="X139"/>
  <c r="T364"/>
  <c r="X143"/>
  <c r="T368"/>
  <c r="W368" s="1"/>
  <c r="X147"/>
  <c r="AA148"/>
  <c r="AB148" s="1"/>
  <c r="T372"/>
  <c r="X151"/>
  <c r="Y151" s="1"/>
  <c r="AA152"/>
  <c r="AB152" s="1"/>
  <c r="T376"/>
  <c r="W376" s="1"/>
  <c r="X155"/>
  <c r="Y155" s="1"/>
  <c r="Z167"/>
  <c r="AA169"/>
  <c r="AB169" s="1"/>
  <c r="T391"/>
  <c r="W391" s="1"/>
  <c r="X170"/>
  <c r="Y170" s="1"/>
  <c r="T392"/>
  <c r="X184"/>
  <c r="Y184" s="1"/>
  <c r="AA187"/>
  <c r="AB187" s="1"/>
  <c r="T417"/>
  <c r="W417" s="1"/>
  <c r="AA198"/>
  <c r="AB198" s="1"/>
  <c r="AC198" s="1"/>
  <c r="X198"/>
  <c r="Y198" s="1"/>
  <c r="AA205"/>
  <c r="AB205" s="1"/>
  <c r="AB193"/>
  <c r="T424"/>
  <c r="T425"/>
  <c r="T457"/>
  <c r="W457" s="1"/>
  <c r="T465"/>
  <c r="W465" s="1"/>
  <c r="T473"/>
  <c r="W473" s="1"/>
  <c r="T430"/>
  <c r="W430" s="1"/>
  <c r="X192"/>
  <c r="X196"/>
  <c r="Y196" s="1"/>
  <c r="T344"/>
  <c r="W344" s="1"/>
  <c r="T348"/>
  <c r="T379"/>
  <c r="T383"/>
  <c r="W383" s="1"/>
  <c r="T401"/>
  <c r="W401" s="1"/>
  <c r="AA192"/>
  <c r="T415"/>
  <c r="W415" s="1"/>
  <c r="X199"/>
  <c r="Y199" s="1"/>
  <c r="T436"/>
  <c r="T444"/>
  <c r="T453"/>
  <c r="W453" s="1"/>
  <c r="T461"/>
  <c r="W461" s="1"/>
  <c r="T469"/>
  <c r="W469" s="1"/>
  <c r="T434"/>
  <c r="W434" s="1"/>
  <c r="T442"/>
  <c r="W442" s="1"/>
  <c r="T450"/>
  <c r="W450" s="1"/>
  <c r="T493"/>
  <c r="W493" s="1"/>
  <c r="T496"/>
  <c r="T501"/>
  <c r="W501" s="1"/>
  <c r="T505"/>
  <c r="W505" s="1"/>
  <c r="T511"/>
  <c r="T518"/>
  <c r="W518" s="1"/>
  <c r="T393"/>
  <c r="T395"/>
  <c r="W395" s="1"/>
  <c r="T397"/>
  <c r="T399"/>
  <c r="W399" s="1"/>
  <c r="T402"/>
  <c r="W402" s="1"/>
  <c r="T403"/>
  <c r="Y182"/>
  <c r="Z182" s="1"/>
  <c r="T404"/>
  <c r="W404" s="1"/>
  <c r="T410"/>
  <c r="T411"/>
  <c r="W411" s="1"/>
  <c r="T412"/>
  <c r="T413"/>
  <c r="W413" s="1"/>
  <c r="T419"/>
  <c r="T420"/>
  <c r="W420" s="1"/>
  <c r="T421"/>
  <c r="T432"/>
  <c r="T440"/>
  <c r="T448"/>
  <c r="T502"/>
  <c r="W502" s="1"/>
  <c r="T506"/>
  <c r="W506" s="1"/>
  <c r="T515"/>
  <c r="T522"/>
  <c r="W522" s="1"/>
  <c r="T438"/>
  <c r="W438" s="1"/>
  <c r="T446"/>
  <c r="W446" s="1"/>
  <c r="T452"/>
  <c r="T456"/>
  <c r="T460"/>
  <c r="T464"/>
  <c r="T468"/>
  <c r="T472"/>
  <c r="T476"/>
  <c r="T480"/>
  <c r="T484"/>
  <c r="T488"/>
  <c r="T492"/>
  <c r="T497"/>
  <c r="W497" s="1"/>
  <c r="T500"/>
  <c r="T503"/>
  <c r="T510"/>
  <c r="W510" s="1"/>
  <c r="T519"/>
  <c r="T477"/>
  <c r="W477" s="1"/>
  <c r="T481"/>
  <c r="W481" s="1"/>
  <c r="T485"/>
  <c r="W485" s="1"/>
  <c r="T489"/>
  <c r="W489" s="1"/>
  <c r="T504"/>
  <c r="T507"/>
  <c r="T514"/>
  <c r="W514" s="1"/>
  <c r="T523"/>
  <c r="W523" s="1"/>
  <c r="V388"/>
  <c r="V396"/>
  <c r="V402"/>
  <c r="V407"/>
  <c r="V418"/>
  <c r="T529"/>
  <c r="W529" s="1"/>
  <c r="T531"/>
  <c r="W531" s="1"/>
  <c r="T538"/>
  <c r="T540"/>
  <c r="T545"/>
  <c r="W545" s="1"/>
  <c r="T547"/>
  <c r="W547" s="1"/>
  <c r="T552"/>
  <c r="T559"/>
  <c r="W559" s="1"/>
  <c r="T560"/>
  <c r="T567"/>
  <c r="W567" s="1"/>
  <c r="T568"/>
  <c r="T575"/>
  <c r="W575" s="1"/>
  <c r="T576"/>
  <c r="T583"/>
  <c r="W583" s="1"/>
  <c r="T584"/>
  <c r="T591"/>
  <c r="W591" s="1"/>
  <c r="T592"/>
  <c r="T599"/>
  <c r="W599" s="1"/>
  <c r="T600"/>
  <c r="T606"/>
  <c r="W606" s="1"/>
  <c r="T608"/>
  <c r="T614"/>
  <c r="W614" s="1"/>
  <c r="T616"/>
  <c r="T626"/>
  <c r="W626" s="1"/>
  <c r="T633"/>
  <c r="W633" s="1"/>
  <c r="V343"/>
  <c r="V344"/>
  <c r="V351"/>
  <c r="V352"/>
  <c r="V359"/>
  <c r="V360"/>
  <c r="V367"/>
  <c r="V368"/>
  <c r="V375"/>
  <c r="V376"/>
  <c r="V383"/>
  <c r="T526"/>
  <c r="W526" s="1"/>
  <c r="T528"/>
  <c r="T533"/>
  <c r="W533" s="1"/>
  <c r="T535"/>
  <c r="W535" s="1"/>
  <c r="T542"/>
  <c r="W542" s="1"/>
  <c r="T544"/>
  <c r="T549"/>
  <c r="W549" s="1"/>
  <c r="T551"/>
  <c r="W551" s="1"/>
  <c r="T558"/>
  <c r="W558" s="1"/>
  <c r="T566"/>
  <c r="W566" s="1"/>
  <c r="T574"/>
  <c r="W574" s="1"/>
  <c r="T582"/>
  <c r="W582" s="1"/>
  <c r="T590"/>
  <c r="W590" s="1"/>
  <c r="T598"/>
  <c r="W598" s="1"/>
  <c r="T635"/>
  <c r="W635" s="1"/>
  <c r="V384"/>
  <c r="V392"/>
  <c r="V400"/>
  <c r="V416"/>
  <c r="T427"/>
  <c r="W427" s="1"/>
  <c r="T429"/>
  <c r="W429" s="1"/>
  <c r="T431"/>
  <c r="T433"/>
  <c r="W433" s="1"/>
  <c r="T435"/>
  <c r="T437"/>
  <c r="W437" s="1"/>
  <c r="T439"/>
  <c r="T441"/>
  <c r="W441" s="1"/>
  <c r="T443"/>
  <c r="T445"/>
  <c r="W445" s="1"/>
  <c r="T447"/>
  <c r="T449"/>
  <c r="W449" s="1"/>
  <c r="T451"/>
  <c r="T455"/>
  <c r="T459"/>
  <c r="T463"/>
  <c r="T467"/>
  <c r="T471"/>
  <c r="T475"/>
  <c r="T479"/>
  <c r="T483"/>
  <c r="T487"/>
  <c r="T491"/>
  <c r="T495"/>
  <c r="T499"/>
  <c r="T509"/>
  <c r="W509" s="1"/>
  <c r="T513"/>
  <c r="W513" s="1"/>
  <c r="T517"/>
  <c r="W517" s="1"/>
  <c r="T521"/>
  <c r="W521" s="1"/>
  <c r="T530"/>
  <c r="T532"/>
  <c r="T537"/>
  <c r="W537" s="1"/>
  <c r="T539"/>
  <c r="W539" s="1"/>
  <c r="T546"/>
  <c r="T548"/>
  <c r="T555"/>
  <c r="W555" s="1"/>
  <c r="T556"/>
  <c r="T563"/>
  <c r="W563" s="1"/>
  <c r="T564"/>
  <c r="T571"/>
  <c r="W571" s="1"/>
  <c r="T572"/>
  <c r="T579"/>
  <c r="W579" s="1"/>
  <c r="T580"/>
  <c r="T587"/>
  <c r="W587" s="1"/>
  <c r="T588"/>
  <c r="T595"/>
  <c r="W595" s="1"/>
  <c r="T596"/>
  <c r="T603"/>
  <c r="W603" s="1"/>
  <c r="T604"/>
  <c r="T610"/>
  <c r="T612"/>
  <c r="T618"/>
  <c r="T620"/>
  <c r="W620" s="1"/>
  <c r="V339"/>
  <c r="V340"/>
  <c r="V347"/>
  <c r="V348"/>
  <c r="V355"/>
  <c r="V356"/>
  <c r="V363"/>
  <c r="V364"/>
  <c r="V371"/>
  <c r="V372"/>
  <c r="V379"/>
  <c r="V380"/>
  <c r="T405"/>
  <c r="T409"/>
  <c r="T414"/>
  <c r="T418"/>
  <c r="W418" s="1"/>
  <c r="T422"/>
  <c r="W422" s="1"/>
  <c r="T426"/>
  <c r="T454"/>
  <c r="W454" s="1"/>
  <c r="T458"/>
  <c r="W458" s="1"/>
  <c r="T462"/>
  <c r="W462" s="1"/>
  <c r="T466"/>
  <c r="W466" s="1"/>
  <c r="T470"/>
  <c r="W470" s="1"/>
  <c r="T474"/>
  <c r="W474" s="1"/>
  <c r="T478"/>
  <c r="W478" s="1"/>
  <c r="T482"/>
  <c r="W482" s="1"/>
  <c r="T486"/>
  <c r="W486" s="1"/>
  <c r="T490"/>
  <c r="W490" s="1"/>
  <c r="T494"/>
  <c r="W494" s="1"/>
  <c r="T498"/>
  <c r="W498" s="1"/>
  <c r="T508"/>
  <c r="T512"/>
  <c r="T516"/>
  <c r="T520"/>
  <c r="T524"/>
  <c r="T525"/>
  <c r="W525" s="1"/>
  <c r="T527"/>
  <c r="W527" s="1"/>
  <c r="T534"/>
  <c r="W534" s="1"/>
  <c r="T536"/>
  <c r="T541"/>
  <c r="W541" s="1"/>
  <c r="T543"/>
  <c r="W543" s="1"/>
  <c r="T550"/>
  <c r="W550" s="1"/>
  <c r="T554"/>
  <c r="T562"/>
  <c r="T570"/>
  <c r="T578"/>
  <c r="T586"/>
  <c r="T594"/>
  <c r="T602"/>
  <c r="T624"/>
  <c r="W624" s="1"/>
  <c r="T640"/>
  <c r="W640" s="1"/>
  <c r="V403"/>
  <c r="V419"/>
  <c r="V524"/>
  <c r="V532"/>
  <c r="V540"/>
  <c r="V548"/>
  <c r="V556"/>
  <c r="V564"/>
  <c r="V572"/>
  <c r="V580"/>
  <c r="V588"/>
  <c r="V596"/>
  <c r="V604"/>
  <c r="V612"/>
  <c r="V620"/>
  <c r="V622"/>
  <c r="V624"/>
  <c r="V626"/>
  <c r="V628"/>
  <c r="T607"/>
  <c r="W607" s="1"/>
  <c r="T611"/>
  <c r="W611" s="1"/>
  <c r="T615"/>
  <c r="W615" s="1"/>
  <c r="T619"/>
  <c r="W619" s="1"/>
  <c r="T622"/>
  <c r="W622" s="1"/>
  <c r="T629"/>
  <c r="W629" s="1"/>
  <c r="T631"/>
  <c r="W631" s="1"/>
  <c r="T636"/>
  <c r="W636" s="1"/>
  <c r="T638"/>
  <c r="W638" s="1"/>
  <c r="T645"/>
  <c r="W645" s="1"/>
  <c r="T647"/>
  <c r="W647" s="1"/>
  <c r="V423"/>
  <c r="V430"/>
  <c r="V434"/>
  <c r="V438"/>
  <c r="V442"/>
  <c r="V446"/>
  <c r="V450"/>
  <c r="V454"/>
  <c r="V458"/>
  <c r="V462"/>
  <c r="V466"/>
  <c r="V470"/>
  <c r="V474"/>
  <c r="V478"/>
  <c r="V482"/>
  <c r="V486"/>
  <c r="V490"/>
  <c r="V494"/>
  <c r="V498"/>
  <c r="V502"/>
  <c r="V506"/>
  <c r="V510"/>
  <c r="V514"/>
  <c r="V518"/>
  <c r="V522"/>
  <c r="V526"/>
  <c r="V534"/>
  <c r="V542"/>
  <c r="V550"/>
  <c r="V558"/>
  <c r="V566"/>
  <c r="V574"/>
  <c r="V582"/>
  <c r="V590"/>
  <c r="V598"/>
  <c r="V606"/>
  <c r="V614"/>
  <c r="T642"/>
  <c r="W642" s="1"/>
  <c r="T649"/>
  <c r="W649" s="1"/>
  <c r="V411"/>
  <c r="V427"/>
  <c r="V528"/>
  <c r="V536"/>
  <c r="V544"/>
  <c r="V552"/>
  <c r="V560"/>
  <c r="V568"/>
  <c r="V576"/>
  <c r="V584"/>
  <c r="V592"/>
  <c r="V600"/>
  <c r="V608"/>
  <c r="V616"/>
  <c r="T553"/>
  <c r="W553" s="1"/>
  <c r="T557"/>
  <c r="W557" s="1"/>
  <c r="T561"/>
  <c r="W561" s="1"/>
  <c r="T565"/>
  <c r="W565" s="1"/>
  <c r="T569"/>
  <c r="W569" s="1"/>
  <c r="T573"/>
  <c r="W573" s="1"/>
  <c r="T577"/>
  <c r="W577" s="1"/>
  <c r="T581"/>
  <c r="W581" s="1"/>
  <c r="T585"/>
  <c r="W585" s="1"/>
  <c r="T589"/>
  <c r="W589" s="1"/>
  <c r="T593"/>
  <c r="W593" s="1"/>
  <c r="T597"/>
  <c r="W597" s="1"/>
  <c r="T601"/>
  <c r="W601" s="1"/>
  <c r="T605"/>
  <c r="W605" s="1"/>
  <c r="V387"/>
  <c r="T609"/>
  <c r="W609" s="1"/>
  <c r="V391"/>
  <c r="T613"/>
  <c r="W613" s="1"/>
  <c r="V395"/>
  <c r="T617"/>
  <c r="W617" s="1"/>
  <c r="V399"/>
  <c r="T621"/>
  <c r="W621" s="1"/>
  <c r="T623"/>
  <c r="W623" s="1"/>
  <c r="T628"/>
  <c r="W628" s="1"/>
  <c r="T630"/>
  <c r="W630" s="1"/>
  <c r="V412"/>
  <c r="T637"/>
  <c r="W637" s="1"/>
  <c r="T639"/>
  <c r="W639" s="1"/>
  <c r="T644"/>
  <c r="W644" s="1"/>
  <c r="T646"/>
  <c r="W646" s="1"/>
  <c r="V428"/>
  <c r="V415"/>
  <c r="V432"/>
  <c r="V436"/>
  <c r="V440"/>
  <c r="V444"/>
  <c r="V448"/>
  <c r="V452"/>
  <c r="V456"/>
  <c r="V460"/>
  <c r="V464"/>
  <c r="V468"/>
  <c r="V472"/>
  <c r="V476"/>
  <c r="V480"/>
  <c r="V484"/>
  <c r="V488"/>
  <c r="V492"/>
  <c r="V496"/>
  <c r="V500"/>
  <c r="V504"/>
  <c r="V508"/>
  <c r="V512"/>
  <c r="V516"/>
  <c r="V520"/>
  <c r="V530"/>
  <c r="V538"/>
  <c r="V546"/>
  <c r="V554"/>
  <c r="V562"/>
  <c r="V570"/>
  <c r="V578"/>
  <c r="V586"/>
  <c r="V594"/>
  <c r="V602"/>
  <c r="V610"/>
  <c r="V618"/>
  <c r="T625"/>
  <c r="W625" s="1"/>
  <c r="T627"/>
  <c r="W627" s="1"/>
  <c r="T632"/>
  <c r="W632" s="1"/>
  <c r="T634"/>
  <c r="W634" s="1"/>
  <c r="V414"/>
  <c r="T641"/>
  <c r="W641" s="1"/>
  <c r="T643"/>
  <c r="W643" s="1"/>
  <c r="T648"/>
  <c r="W648" s="1"/>
  <c r="AI212" i="1"/>
  <c r="AI208"/>
  <c r="AI176"/>
  <c r="AI144"/>
  <c r="AI84"/>
  <c r="AB64"/>
  <c r="AI52"/>
  <c r="AB48"/>
  <c r="AJ33" i="6"/>
  <c r="AJ37"/>
  <c r="AJ41"/>
  <c r="AJ45"/>
  <c r="AJ50"/>
  <c r="AJ63"/>
  <c r="AJ68"/>
  <c r="AJ73"/>
  <c r="AJ79"/>
  <c r="AJ84"/>
  <c r="AJ93"/>
  <c r="AJ97"/>
  <c r="AJ103"/>
  <c r="AJ107"/>
  <c r="AJ113"/>
  <c r="AJ117"/>
  <c r="AJ139"/>
  <c r="AM91"/>
  <c r="AJ30"/>
  <c r="AJ35"/>
  <c r="AJ39"/>
  <c r="AJ43"/>
  <c r="AJ47"/>
  <c r="AJ60"/>
  <c r="AJ65"/>
  <c r="AJ71"/>
  <c r="AJ76"/>
  <c r="AJ81"/>
  <c r="AJ88"/>
  <c r="AJ95"/>
  <c r="AJ99"/>
  <c r="AJ104"/>
  <c r="AJ111"/>
  <c r="AJ114"/>
  <c r="AJ125"/>
  <c r="AN62"/>
  <c r="AN60"/>
  <c r="AN58"/>
  <c r="AN56"/>
  <c r="AN54"/>
  <c r="AN52"/>
  <c r="AN50"/>
  <c r="AN48"/>
  <c r="AN46"/>
  <c r="AN44"/>
  <c r="AN42"/>
  <c r="AN40"/>
  <c r="AN38"/>
  <c r="AN36"/>
  <c r="AN34"/>
  <c r="AN32"/>
  <c r="AN30"/>
  <c r="AN138"/>
  <c r="AN136"/>
  <c r="AM121"/>
  <c r="AN121" s="1"/>
  <c r="AO121" s="1"/>
  <c r="AJ96"/>
  <c r="AJ110"/>
  <c r="AJ118"/>
  <c r="AJ123"/>
  <c r="AJ131"/>
  <c r="AJ122"/>
  <c r="AN103"/>
  <c r="AO103" s="1"/>
  <c r="AN99"/>
  <c r="AO98" s="1"/>
  <c r="AN97"/>
  <c r="AO97" s="1"/>
  <c r="AN93"/>
  <c r="AN87"/>
  <c r="AO87" s="1"/>
  <c r="AN83"/>
  <c r="AN81"/>
  <c r="AN77"/>
  <c r="AO76" s="1"/>
  <c r="AN71"/>
  <c r="AN67"/>
  <c r="AN65"/>
  <c r="AN61"/>
  <c r="AO61" s="1"/>
  <c r="AN55"/>
  <c r="AO55" s="1"/>
  <c r="AN51"/>
  <c r="AN49"/>
  <c r="AN45"/>
  <c r="AO45" s="1"/>
  <c r="AN39"/>
  <c r="AO39" s="1"/>
  <c r="AN35"/>
  <c r="AN33"/>
  <c r="AO33" s="1"/>
  <c r="AM127"/>
  <c r="AN127" s="1"/>
  <c r="AJ108"/>
  <c r="AK108" s="1"/>
  <c r="AJ135"/>
  <c r="AO150"/>
  <c r="AN140"/>
  <c r="AO140" s="1"/>
  <c r="AN154"/>
  <c r="AO153" s="1"/>
  <c r="AO125"/>
  <c r="AO113"/>
  <c r="AO109"/>
  <c r="AO49"/>
  <c r="AO146"/>
  <c r="AK139"/>
  <c r="AN31"/>
  <c r="AO31" s="1"/>
  <c r="AN41"/>
  <c r="AO41" s="1"/>
  <c r="AN47"/>
  <c r="AN57"/>
  <c r="AO57" s="1"/>
  <c r="AN63"/>
  <c r="AO63" s="1"/>
  <c r="AM70"/>
  <c r="AN70" s="1"/>
  <c r="AN73"/>
  <c r="AO73" s="1"/>
  <c r="AN79"/>
  <c r="AO79" s="1"/>
  <c r="AM86"/>
  <c r="AN86" s="1"/>
  <c r="AO86" s="1"/>
  <c r="AN89"/>
  <c r="AO89" s="1"/>
  <c r="AM92"/>
  <c r="AN92" s="1"/>
  <c r="AN95"/>
  <c r="AO95" s="1"/>
  <c r="AM102"/>
  <c r="AN102" s="1"/>
  <c r="AN105"/>
  <c r="AO105" s="1"/>
  <c r="AN111"/>
  <c r="AM124"/>
  <c r="AN124" s="1"/>
  <c r="AO124" s="1"/>
  <c r="AM134"/>
  <c r="AN134" s="1"/>
  <c r="AO134" s="1"/>
  <c r="AN137"/>
  <c r="AO137" s="1"/>
  <c r="AE29"/>
  <c r="AO151"/>
  <c r="AN37"/>
  <c r="AO37" s="1"/>
  <c r="AN43"/>
  <c r="AO43" s="1"/>
  <c r="AN53"/>
  <c r="AO53" s="1"/>
  <c r="AN59"/>
  <c r="AO59" s="1"/>
  <c r="AM66"/>
  <c r="AN66" s="1"/>
  <c r="AN69"/>
  <c r="AN75"/>
  <c r="AO75" s="1"/>
  <c r="AM82"/>
  <c r="AN82" s="1"/>
  <c r="AO82" s="1"/>
  <c r="AN85"/>
  <c r="AN91"/>
  <c r="AN101"/>
  <c r="AN107"/>
  <c r="AO107" s="1"/>
  <c r="AN117"/>
  <c r="AO117" s="1"/>
  <c r="AM120"/>
  <c r="AN120" s="1"/>
  <c r="AN123"/>
  <c r="AM130"/>
  <c r="AN130" s="1"/>
  <c r="AO130" s="1"/>
  <c r="AN133"/>
  <c r="AO133" s="1"/>
  <c r="AN139"/>
  <c r="AO139" s="1"/>
  <c r="AJ58"/>
  <c r="AK58" s="1"/>
  <c r="AJ62"/>
  <c r="AJ74"/>
  <c r="AJ78"/>
  <c r="AJ90"/>
  <c r="AJ106"/>
  <c r="AK106" s="1"/>
  <c r="AJ126"/>
  <c r="AM94"/>
  <c r="AN94" s="1"/>
  <c r="AO94" s="1"/>
  <c r="AM116"/>
  <c r="AN116" s="1"/>
  <c r="AO115" s="1"/>
  <c r="AM132"/>
  <c r="AN132" s="1"/>
  <c r="AO131" s="1"/>
  <c r="AC28"/>
  <c r="AK105"/>
  <c r="AK109"/>
  <c r="AM29"/>
  <c r="AN29" s="1"/>
  <c r="AO29" s="1"/>
  <c r="AM112"/>
  <c r="AN112" s="1"/>
  <c r="AO112" s="1"/>
  <c r="AM128"/>
  <c r="AN128" s="1"/>
  <c r="AB133"/>
  <c r="AO148"/>
  <c r="AO145"/>
  <c r="AO142"/>
  <c r="AO154"/>
  <c r="AO144"/>
  <c r="AO141"/>
  <c r="AO42"/>
  <c r="AO58"/>
  <c r="AO68"/>
  <c r="AO90"/>
  <c r="AO106"/>
  <c r="AO119"/>
  <c r="AO135"/>
  <c r="AO138"/>
  <c r="AO35"/>
  <c r="AO38"/>
  <c r="AO51"/>
  <c r="AO64"/>
  <c r="AO67"/>
  <c r="AO80"/>
  <c r="AO83"/>
  <c r="AO96"/>
  <c r="AO99"/>
  <c r="AO102"/>
  <c r="AO118"/>
  <c r="AO128"/>
  <c r="AK43"/>
  <c r="AK92"/>
  <c r="AK115"/>
  <c r="AK35"/>
  <c r="AK37"/>
  <c r="AK74"/>
  <c r="AK41"/>
  <c r="AK80"/>
  <c r="AK130"/>
  <c r="AE148"/>
  <c r="AK33"/>
  <c r="AK55"/>
  <c r="AK64"/>
  <c r="AK82"/>
  <c r="AK88"/>
  <c r="AK136"/>
  <c r="AK62"/>
  <c r="AK36"/>
  <c r="AK49"/>
  <c r="AK50"/>
  <c r="AK57"/>
  <c r="AL57" s="1"/>
  <c r="AK76"/>
  <c r="AK86"/>
  <c r="AK89"/>
  <c r="AK93"/>
  <c r="AK116"/>
  <c r="AL115" s="1"/>
  <c r="AK127"/>
  <c r="AE46"/>
  <c r="AE58"/>
  <c r="AE137"/>
  <c r="AK45"/>
  <c r="AK95"/>
  <c r="AK135"/>
  <c r="AK51"/>
  <c r="AK53"/>
  <c r="AK68"/>
  <c r="AK103"/>
  <c r="AL103" s="1"/>
  <c r="AK112"/>
  <c r="AK132"/>
  <c r="AK29"/>
  <c r="AK30"/>
  <c r="AJ32"/>
  <c r="AK32" s="1"/>
  <c r="AL32" s="1"/>
  <c r="AK39"/>
  <c r="AK40"/>
  <c r="AK44"/>
  <c r="AJ48"/>
  <c r="AK48" s="1"/>
  <c r="AK60"/>
  <c r="AK96"/>
  <c r="AL95" s="1"/>
  <c r="AK97"/>
  <c r="AK99"/>
  <c r="AK104"/>
  <c r="AK134"/>
  <c r="AL134" s="1"/>
  <c r="AK107"/>
  <c r="AK111"/>
  <c r="AK123"/>
  <c r="AK84"/>
  <c r="AK91"/>
  <c r="AK113"/>
  <c r="AK121"/>
  <c r="AK131"/>
  <c r="AK66"/>
  <c r="AK70"/>
  <c r="AK72"/>
  <c r="AK78"/>
  <c r="AK117"/>
  <c r="AK119"/>
  <c r="AK125"/>
  <c r="AE52"/>
  <c r="AB102"/>
  <c r="AB34"/>
  <c r="AE42"/>
  <c r="AB90"/>
  <c r="AE92"/>
  <c r="AE98"/>
  <c r="AB114"/>
  <c r="AE151"/>
  <c r="AE54"/>
  <c r="AB110"/>
  <c r="AB142"/>
  <c r="AA35"/>
  <c r="AB35" s="1"/>
  <c r="AD154"/>
  <c r="AE154" s="1"/>
  <c r="AA154"/>
  <c r="AB154" s="1"/>
  <c r="AA31"/>
  <c r="AB31" s="1"/>
  <c r="AA39"/>
  <c r="AB39" s="1"/>
  <c r="AA43"/>
  <c r="AB43" s="1"/>
  <c r="AD90"/>
  <c r="AE90" s="1"/>
  <c r="AA137"/>
  <c r="AB137" s="1"/>
  <c r="AA145"/>
  <c r="AB145" s="1"/>
  <c r="AA47"/>
  <c r="AB47" s="1"/>
  <c r="AA50"/>
  <c r="AB50" s="1"/>
  <c r="AD129"/>
  <c r="AE129" s="1"/>
  <c r="AA148"/>
  <c r="AB148" s="1"/>
  <c r="AK7"/>
  <c r="AD32"/>
  <c r="AE32" s="1"/>
  <c r="AA32"/>
  <c r="AB32" s="1"/>
  <c r="AD41"/>
  <c r="AE41" s="1"/>
  <c r="AA41"/>
  <c r="AB41" s="1"/>
  <c r="AD48"/>
  <c r="AE48" s="1"/>
  <c r="AA48"/>
  <c r="AB48" s="1"/>
  <c r="AD53"/>
  <c r="AE53" s="1"/>
  <c r="AA53"/>
  <c r="AB53" s="1"/>
  <c r="AA79"/>
  <c r="AB79" s="1"/>
  <c r="AD79"/>
  <c r="AE79" s="1"/>
  <c r="AA89"/>
  <c r="AB89" s="1"/>
  <c r="AC89" s="1"/>
  <c r="AD89"/>
  <c r="AE89" s="1"/>
  <c r="AA29"/>
  <c r="AB29" s="1"/>
  <c r="AD36"/>
  <c r="AE36" s="1"/>
  <c r="AA36"/>
  <c r="AB36" s="1"/>
  <c r="AC35" s="1"/>
  <c r="AD45"/>
  <c r="AE45" s="1"/>
  <c r="AA45"/>
  <c r="AB45" s="1"/>
  <c r="AD55"/>
  <c r="AE55" s="1"/>
  <c r="AA55"/>
  <c r="AB55" s="1"/>
  <c r="AA59"/>
  <c r="AB59" s="1"/>
  <c r="AD59"/>
  <c r="AE59" s="1"/>
  <c r="AF58" s="1"/>
  <c r="AA61"/>
  <c r="AB61" s="1"/>
  <c r="AD61"/>
  <c r="AE61" s="1"/>
  <c r="AA63"/>
  <c r="AB63" s="1"/>
  <c r="AD63"/>
  <c r="AE63" s="1"/>
  <c r="AA65"/>
  <c r="AB65" s="1"/>
  <c r="AD65"/>
  <c r="AE65" s="1"/>
  <c r="AA67"/>
  <c r="AB67" s="1"/>
  <c r="AD67"/>
  <c r="AE67" s="1"/>
  <c r="AA69"/>
  <c r="AB69" s="1"/>
  <c r="AE69"/>
  <c r="AA71"/>
  <c r="AB71" s="1"/>
  <c r="AD71"/>
  <c r="AE71" s="1"/>
  <c r="AA73"/>
  <c r="AB73" s="1"/>
  <c r="AD73"/>
  <c r="AE73" s="1"/>
  <c r="AA81"/>
  <c r="AB81" s="1"/>
  <c r="AD81"/>
  <c r="AE81" s="1"/>
  <c r="AL40"/>
  <c r="AA30"/>
  <c r="AB30" s="1"/>
  <c r="AD30"/>
  <c r="AE30" s="1"/>
  <c r="AF29" s="1"/>
  <c r="AD33"/>
  <c r="AE33" s="1"/>
  <c r="AA33"/>
  <c r="AB33" s="1"/>
  <c r="AD40"/>
  <c r="AE40" s="1"/>
  <c r="AA40"/>
  <c r="AB40" s="1"/>
  <c r="AC40" s="1"/>
  <c r="AD49"/>
  <c r="AE49" s="1"/>
  <c r="AA49"/>
  <c r="AB49" s="1"/>
  <c r="AD57"/>
  <c r="AE57" s="1"/>
  <c r="AA57"/>
  <c r="AB57" s="1"/>
  <c r="AA75"/>
  <c r="AB75" s="1"/>
  <c r="AD75"/>
  <c r="AE75" s="1"/>
  <c r="AA83"/>
  <c r="AB83" s="1"/>
  <c r="AD83"/>
  <c r="AE83" s="1"/>
  <c r="AD88"/>
  <c r="AE88" s="1"/>
  <c r="AA88"/>
  <c r="AB88" s="1"/>
  <c r="AC88" s="1"/>
  <c r="AK31"/>
  <c r="AE38"/>
  <c r="AK47"/>
  <c r="AE56"/>
  <c r="AD37"/>
  <c r="AE37" s="1"/>
  <c r="AA37"/>
  <c r="AB37" s="1"/>
  <c r="AD44"/>
  <c r="AE44" s="1"/>
  <c r="AA44"/>
  <c r="AB44" s="1"/>
  <c r="AD51"/>
  <c r="AE51" s="1"/>
  <c r="AA51"/>
  <c r="AB51" s="1"/>
  <c r="AA77"/>
  <c r="AB77" s="1"/>
  <c r="AD77"/>
  <c r="AE77" s="1"/>
  <c r="AA85"/>
  <c r="AB85" s="1"/>
  <c r="AD85"/>
  <c r="AE85" s="1"/>
  <c r="AD93"/>
  <c r="AE93" s="1"/>
  <c r="AA93"/>
  <c r="AB93" s="1"/>
  <c r="AA97"/>
  <c r="AB97" s="1"/>
  <c r="AD97"/>
  <c r="AE97" s="1"/>
  <c r="AF97" s="1"/>
  <c r="AA60"/>
  <c r="AB60" s="1"/>
  <c r="AC60" s="1"/>
  <c r="AA62"/>
  <c r="AB62" s="1"/>
  <c r="AC62" s="1"/>
  <c r="AA64"/>
  <c r="AB64" s="1"/>
  <c r="AC63" s="1"/>
  <c r="AA66"/>
  <c r="AB66" s="1"/>
  <c r="AC66" s="1"/>
  <c r="AA68"/>
  <c r="AB68" s="1"/>
  <c r="AC68" s="1"/>
  <c r="AA70"/>
  <c r="AB70" s="1"/>
  <c r="AC70" s="1"/>
  <c r="AA72"/>
  <c r="AB72" s="1"/>
  <c r="AC71" s="1"/>
  <c r="AA74"/>
  <c r="AB74" s="1"/>
  <c r="AA76"/>
  <c r="AB76" s="1"/>
  <c r="AA78"/>
  <c r="AB78" s="1"/>
  <c r="AA80"/>
  <c r="AB80" s="1"/>
  <c r="AC80" s="1"/>
  <c r="AA82"/>
  <c r="AB82" s="1"/>
  <c r="AA84"/>
  <c r="AB84" s="1"/>
  <c r="AD86"/>
  <c r="AE86" s="1"/>
  <c r="AD91"/>
  <c r="AE91" s="1"/>
  <c r="AF91" s="1"/>
  <c r="AA98"/>
  <c r="AB98" s="1"/>
  <c r="AA100"/>
  <c r="AB100" s="1"/>
  <c r="AD100"/>
  <c r="AE100" s="1"/>
  <c r="AD101"/>
  <c r="AE101" s="1"/>
  <c r="AJ101"/>
  <c r="AD31"/>
  <c r="AE31" s="1"/>
  <c r="AD35"/>
  <c r="AE35" s="1"/>
  <c r="AD39"/>
  <c r="AE39" s="1"/>
  <c r="AD43"/>
  <c r="AE43" s="1"/>
  <c r="AF45"/>
  <c r="AD47"/>
  <c r="AE47" s="1"/>
  <c r="AD50"/>
  <c r="AE50" s="1"/>
  <c r="AL50"/>
  <c r="AK59"/>
  <c r="AK61"/>
  <c r="AL60" s="1"/>
  <c r="AK63"/>
  <c r="AK65"/>
  <c r="AL64" s="1"/>
  <c r="AK67"/>
  <c r="AL66" s="1"/>
  <c r="AK69"/>
  <c r="AK71"/>
  <c r="AK73"/>
  <c r="AL73" s="1"/>
  <c r="AK75"/>
  <c r="AL74" s="1"/>
  <c r="AK77"/>
  <c r="AK79"/>
  <c r="AK81"/>
  <c r="AL80" s="1"/>
  <c r="AK83"/>
  <c r="AL82" s="1"/>
  <c r="AK85"/>
  <c r="AA86"/>
  <c r="AB86" s="1"/>
  <c r="AC85" s="1"/>
  <c r="AK90"/>
  <c r="AL90" s="1"/>
  <c r="AA101"/>
  <c r="AB101" s="1"/>
  <c r="AE104"/>
  <c r="AA87"/>
  <c r="AB87" s="1"/>
  <c r="AA92"/>
  <c r="AB92" s="1"/>
  <c r="AD95"/>
  <c r="AE95" s="1"/>
  <c r="AD99"/>
  <c r="AE99" s="1"/>
  <c r="AJ100"/>
  <c r="AK100" s="1"/>
  <c r="AD109"/>
  <c r="AE109" s="1"/>
  <c r="AA109"/>
  <c r="AB109" s="1"/>
  <c r="AJ34"/>
  <c r="AK34" s="1"/>
  <c r="AL33" s="1"/>
  <c r="AJ38"/>
  <c r="AK38" s="1"/>
  <c r="AF42"/>
  <c r="AJ42"/>
  <c r="AK42" s="1"/>
  <c r="AJ46"/>
  <c r="AK46" s="1"/>
  <c r="AL46" s="1"/>
  <c r="AJ52"/>
  <c r="AK52" s="1"/>
  <c r="AL51" s="1"/>
  <c r="AJ54"/>
  <c r="AK54" s="1"/>
  <c r="AL54" s="1"/>
  <c r="AJ56"/>
  <c r="AK56" s="1"/>
  <c r="AB91"/>
  <c r="AC90" s="1"/>
  <c r="AJ98"/>
  <c r="AK98" s="1"/>
  <c r="AD103"/>
  <c r="AE103" s="1"/>
  <c r="AA103"/>
  <c r="AB103" s="1"/>
  <c r="AA105"/>
  <c r="AB105" s="1"/>
  <c r="AD105"/>
  <c r="AE105" s="1"/>
  <c r="AA106"/>
  <c r="AB106" s="1"/>
  <c r="AD111"/>
  <c r="AE111" s="1"/>
  <c r="AA111"/>
  <c r="AB111" s="1"/>
  <c r="AD117"/>
  <c r="AE117" s="1"/>
  <c r="AA117"/>
  <c r="AB117" s="1"/>
  <c r="AD34"/>
  <c r="AE34" s="1"/>
  <c r="AF34" s="1"/>
  <c r="AK8"/>
  <c r="G9" s="1"/>
  <c r="AA38"/>
  <c r="AB38" s="1"/>
  <c r="AA42"/>
  <c r="AB42" s="1"/>
  <c r="AC42" s="1"/>
  <c r="AA46"/>
  <c r="AB46" s="1"/>
  <c r="AC46" s="1"/>
  <c r="AL49"/>
  <c r="AA52"/>
  <c r="AB52" s="1"/>
  <c r="AA54"/>
  <c r="AB54" s="1"/>
  <c r="AA56"/>
  <c r="AB56" s="1"/>
  <c r="AA58"/>
  <c r="AB58" s="1"/>
  <c r="AC58" s="1"/>
  <c r="AD60"/>
  <c r="AE60" s="1"/>
  <c r="AL61"/>
  <c r="AD62"/>
  <c r="AE62" s="1"/>
  <c r="AD64"/>
  <c r="AE64" s="1"/>
  <c r="AL65"/>
  <c r="AD66"/>
  <c r="AE66" s="1"/>
  <c r="AF65" s="1"/>
  <c r="AD68"/>
  <c r="AE68" s="1"/>
  <c r="AL69"/>
  <c r="AD70"/>
  <c r="AE70" s="1"/>
  <c r="AD72"/>
  <c r="AE72" s="1"/>
  <c r="AF72" s="1"/>
  <c r="AD74"/>
  <c r="AE74" s="1"/>
  <c r="AD76"/>
  <c r="AE76" s="1"/>
  <c r="AL77"/>
  <c r="AD78"/>
  <c r="AE78" s="1"/>
  <c r="AD80"/>
  <c r="AE80" s="1"/>
  <c r="AD82"/>
  <c r="AE82" s="1"/>
  <c r="AD84"/>
  <c r="AE84" s="1"/>
  <c r="AD87"/>
  <c r="AE87" s="1"/>
  <c r="AJ87"/>
  <c r="AK87" s="1"/>
  <c r="AL87" s="1"/>
  <c r="AL89"/>
  <c r="AD94"/>
  <c r="AE94" s="1"/>
  <c r="AF93" s="1"/>
  <c r="AK94"/>
  <c r="AL94" s="1"/>
  <c r="AA95"/>
  <c r="AB95" s="1"/>
  <c r="AD106"/>
  <c r="AE106" s="1"/>
  <c r="AL91"/>
  <c r="AB94"/>
  <c r="AE96"/>
  <c r="AA99"/>
  <c r="AB99" s="1"/>
  <c r="AK101"/>
  <c r="AA108"/>
  <c r="AB108" s="1"/>
  <c r="AC108" s="1"/>
  <c r="AA116"/>
  <c r="AB116" s="1"/>
  <c r="AD118"/>
  <c r="AE118" s="1"/>
  <c r="AA119"/>
  <c r="AB119" s="1"/>
  <c r="AD119"/>
  <c r="AE119" s="1"/>
  <c r="AA123"/>
  <c r="AB123" s="1"/>
  <c r="AD123"/>
  <c r="AE123" s="1"/>
  <c r="AA127"/>
  <c r="AB127" s="1"/>
  <c r="AD127"/>
  <c r="AE127" s="1"/>
  <c r="AJ137"/>
  <c r="AK137" s="1"/>
  <c r="AD113"/>
  <c r="AE113" s="1"/>
  <c r="AA118"/>
  <c r="AB118" s="1"/>
  <c r="AC118" s="1"/>
  <c r="AK118"/>
  <c r="AK122"/>
  <c r="AK126"/>
  <c r="AB129"/>
  <c r="AD136"/>
  <c r="AA120"/>
  <c r="AB120" s="1"/>
  <c r="AD120"/>
  <c r="AE120" s="1"/>
  <c r="AA124"/>
  <c r="AB124" s="1"/>
  <c r="AD124"/>
  <c r="AE124" s="1"/>
  <c r="AA128"/>
  <c r="AB128" s="1"/>
  <c r="AD128"/>
  <c r="AE128" s="1"/>
  <c r="AD102"/>
  <c r="AE102" s="1"/>
  <c r="AF102" s="1"/>
  <c r="AK102"/>
  <c r="AL104"/>
  <c r="AD108"/>
  <c r="AE108" s="1"/>
  <c r="AD110"/>
  <c r="AE110" s="1"/>
  <c r="AK110"/>
  <c r="AL110" s="1"/>
  <c r="AL111"/>
  <c r="AL112"/>
  <c r="AE116"/>
  <c r="AF116" s="1"/>
  <c r="AA96"/>
  <c r="AB96" s="1"/>
  <c r="AC96" s="1"/>
  <c r="AA104"/>
  <c r="AB104" s="1"/>
  <c r="AA112"/>
  <c r="AB112" s="1"/>
  <c r="AA121"/>
  <c r="AB121" s="1"/>
  <c r="AD121"/>
  <c r="AE121" s="1"/>
  <c r="AA125"/>
  <c r="AB125" s="1"/>
  <c r="AD125"/>
  <c r="AE125" s="1"/>
  <c r="AJ129"/>
  <c r="AK129" s="1"/>
  <c r="AA132"/>
  <c r="AB132" s="1"/>
  <c r="AJ133"/>
  <c r="AK133" s="1"/>
  <c r="AA136"/>
  <c r="AD139"/>
  <c r="AE139" s="1"/>
  <c r="AA139"/>
  <c r="AB139" s="1"/>
  <c r="AA113"/>
  <c r="AB113" s="1"/>
  <c r="AC113" s="1"/>
  <c r="AK120"/>
  <c r="AL119" s="1"/>
  <c r="AK124"/>
  <c r="AK128"/>
  <c r="AL127" s="1"/>
  <c r="AD132"/>
  <c r="AE132" s="1"/>
  <c r="AD107"/>
  <c r="AE107" s="1"/>
  <c r="AD115"/>
  <c r="AE115" s="1"/>
  <c r="AF115" s="1"/>
  <c r="AA122"/>
  <c r="AB122" s="1"/>
  <c r="AD122"/>
  <c r="AE122" s="1"/>
  <c r="AF122" s="1"/>
  <c r="AA126"/>
  <c r="AB126" s="1"/>
  <c r="AD126"/>
  <c r="AE126" s="1"/>
  <c r="AA107"/>
  <c r="AB107" s="1"/>
  <c r="AE112"/>
  <c r="AD114"/>
  <c r="AE114" s="1"/>
  <c r="AF113" s="1"/>
  <c r="AK114"/>
  <c r="AL114" s="1"/>
  <c r="AA115"/>
  <c r="AB115" s="1"/>
  <c r="AL131"/>
  <c r="AD133"/>
  <c r="AE133" s="1"/>
  <c r="AD146"/>
  <c r="AE146" s="1"/>
  <c r="AD150"/>
  <c r="AE150" s="1"/>
  <c r="AF150" s="1"/>
  <c r="AJ138"/>
  <c r="AK138" s="1"/>
  <c r="AL138" s="1"/>
  <c r="AA155"/>
  <c r="AA143"/>
  <c r="AB143" s="1"/>
  <c r="AD145"/>
  <c r="AE145" s="1"/>
  <c r="AE155"/>
  <c r="AF154" s="1"/>
  <c r="AD142"/>
  <c r="AE142" s="1"/>
  <c r="AD143"/>
  <c r="AE143" s="1"/>
  <c r="AA146"/>
  <c r="AB146" s="1"/>
  <c r="AA150"/>
  <c r="AB150" s="1"/>
  <c r="AD140"/>
  <c r="AE140" s="1"/>
  <c r="AF139" s="1"/>
  <c r="AA140"/>
  <c r="AB140" s="1"/>
  <c r="AA151"/>
  <c r="AB151" s="1"/>
  <c r="BT136" i="5"/>
  <c r="BS71"/>
  <c r="BC96"/>
  <c r="BS106"/>
  <c r="BS116"/>
  <c r="BS154"/>
  <c r="BS160"/>
  <c r="BS175"/>
  <c r="BS198"/>
  <c r="BS205"/>
  <c r="BS207"/>
  <c r="BS234"/>
  <c r="BS236"/>
  <c r="BS256"/>
  <c r="BS261"/>
  <c r="BS47"/>
  <c r="BS76"/>
  <c r="BS80"/>
  <c r="BS83"/>
  <c r="BT83" s="1"/>
  <c r="BD85"/>
  <c r="BC87"/>
  <c r="BC88"/>
  <c r="BD88" s="1"/>
  <c r="BC89"/>
  <c r="BS127"/>
  <c r="BS131"/>
  <c r="BT197"/>
  <c r="BS199"/>
  <c r="BS223"/>
  <c r="BS242"/>
  <c r="BS277"/>
  <c r="BC36"/>
  <c r="BS38"/>
  <c r="BC44"/>
  <c r="BC53"/>
  <c r="BD52" s="1"/>
  <c r="BS72"/>
  <c r="BT134"/>
  <c r="BS56"/>
  <c r="BS64"/>
  <c r="BT63" s="1"/>
  <c r="BS94"/>
  <c r="BC95"/>
  <c r="BC98"/>
  <c r="BS101"/>
  <c r="BC103"/>
  <c r="BC104"/>
  <c r="BC106"/>
  <c r="BS110"/>
  <c r="BS114"/>
  <c r="BS118"/>
  <c r="BC124"/>
  <c r="BS142"/>
  <c r="BS146"/>
  <c r="BS153"/>
  <c r="BS167"/>
  <c r="BS168"/>
  <c r="BT168" s="1"/>
  <c r="BS179"/>
  <c r="BS180"/>
  <c r="BS200"/>
  <c r="BS202"/>
  <c r="BT212"/>
  <c r="BS213"/>
  <c r="BS239"/>
  <c r="BS269"/>
  <c r="BS271"/>
  <c r="BC156"/>
  <c r="BS41"/>
  <c r="BS124"/>
  <c r="BC127"/>
  <c r="BT133"/>
  <c r="BS100"/>
  <c r="BS129"/>
  <c r="BS29"/>
  <c r="BS30"/>
  <c r="BS74"/>
  <c r="BT74" s="1"/>
  <c r="BS87"/>
  <c r="BT87" s="1"/>
  <c r="BS88"/>
  <c r="BD89"/>
  <c r="BS103"/>
  <c r="BD104"/>
  <c r="BS104"/>
  <c r="BD105"/>
  <c r="BS122"/>
  <c r="BC128"/>
  <c r="BS128"/>
  <c r="BC131"/>
  <c r="BC144"/>
  <c r="BC148"/>
  <c r="BC152"/>
  <c r="BC154"/>
  <c r="BS182"/>
  <c r="BS188"/>
  <c r="BS191"/>
  <c r="BS203"/>
  <c r="BT236"/>
  <c r="BS244"/>
  <c r="BS250"/>
  <c r="BT250" s="1"/>
  <c r="BS280"/>
  <c r="BS282"/>
  <c r="BT282" s="1"/>
  <c r="BS289"/>
  <c r="BT288" s="1"/>
  <c r="BS290"/>
  <c r="BT290" s="1"/>
  <c r="BS297"/>
  <c r="BT296" s="1"/>
  <c r="BS298"/>
  <c r="BT298" s="1"/>
  <c r="BS99"/>
  <c r="BC122"/>
  <c r="BS125"/>
  <c r="BT131"/>
  <c r="BC133"/>
  <c r="BC135"/>
  <c r="BT135"/>
  <c r="BC137"/>
  <c r="BT137"/>
  <c r="BS31"/>
  <c r="BS39"/>
  <c r="BT38" s="1"/>
  <c r="BS46"/>
  <c r="BT46" s="1"/>
  <c r="BS49"/>
  <c r="BS58"/>
  <c r="BC61"/>
  <c r="BC69"/>
  <c r="BD68" s="1"/>
  <c r="BC77"/>
  <c r="BD76" s="1"/>
  <c r="BC81"/>
  <c r="BS84"/>
  <c r="BS91"/>
  <c r="BT91" s="1"/>
  <c r="BD92"/>
  <c r="BS92"/>
  <c r="BD93"/>
  <c r="BB100"/>
  <c r="BC100" s="1"/>
  <c r="BD100" s="1"/>
  <c r="BB101"/>
  <c r="BC101" s="1"/>
  <c r="BD101" s="1"/>
  <c r="BS107"/>
  <c r="BD108"/>
  <c r="BS108"/>
  <c r="BT108" s="1"/>
  <c r="BC121"/>
  <c r="BC125"/>
  <c r="BC129"/>
  <c r="BC140"/>
  <c r="BC142"/>
  <c r="BS149"/>
  <c r="BC158"/>
  <c r="BR158"/>
  <c r="BS158" s="1"/>
  <c r="BT158" s="1"/>
  <c r="BR201"/>
  <c r="BS201" s="1"/>
  <c r="BT246"/>
  <c r="BS248"/>
  <c r="BD96"/>
  <c r="BD97"/>
  <c r="BC132"/>
  <c r="BC134"/>
  <c r="BC136"/>
  <c r="BC138"/>
  <c r="BC146"/>
  <c r="BS150"/>
  <c r="BC157"/>
  <c r="BD157" s="1"/>
  <c r="BC160"/>
  <c r="BS173"/>
  <c r="BS185"/>
  <c r="BS186"/>
  <c r="BS220"/>
  <c r="BT220" s="1"/>
  <c r="BS221"/>
  <c r="BS228"/>
  <c r="BS229"/>
  <c r="BS240"/>
  <c r="BT239" s="1"/>
  <c r="BS245"/>
  <c r="BT245" s="1"/>
  <c r="BT247"/>
  <c r="BS265"/>
  <c r="BR273"/>
  <c r="BS273" s="1"/>
  <c r="BT272" s="1"/>
  <c r="BS285"/>
  <c r="BT284" s="1"/>
  <c r="BS286"/>
  <c r="BT286" s="1"/>
  <c r="BS293"/>
  <c r="BT292" s="1"/>
  <c r="BS294"/>
  <c r="BT294" s="1"/>
  <c r="BS301"/>
  <c r="BT300" s="1"/>
  <c r="BS302"/>
  <c r="BT302" s="1"/>
  <c r="BX111"/>
  <c r="BO201"/>
  <c r="BO268"/>
  <c r="BX113"/>
  <c r="BW58"/>
  <c r="BO276"/>
  <c r="BW41"/>
  <c r="BW55"/>
  <c r="BW63"/>
  <c r="BM112"/>
  <c r="BN112" s="1"/>
  <c r="BO112" s="1"/>
  <c r="BM113"/>
  <c r="BN113" s="1"/>
  <c r="BM114"/>
  <c r="BN114" s="1"/>
  <c r="BN119"/>
  <c r="BW119"/>
  <c r="BX118" s="1"/>
  <c r="BM123"/>
  <c r="BN123" s="1"/>
  <c r="BM127"/>
  <c r="BN127" s="1"/>
  <c r="BM129"/>
  <c r="BM130"/>
  <c r="BN130" s="1"/>
  <c r="BO130" s="1"/>
  <c r="BW131"/>
  <c r="BN141"/>
  <c r="BM145"/>
  <c r="BM147"/>
  <c r="BN147" s="1"/>
  <c r="BM151"/>
  <c r="BN151" s="1"/>
  <c r="BN164"/>
  <c r="BN172"/>
  <c r="BN179"/>
  <c r="BN184"/>
  <c r="BO183" s="1"/>
  <c r="BN242"/>
  <c r="BO241" s="1"/>
  <c r="BN246"/>
  <c r="BN252"/>
  <c r="BO252" s="1"/>
  <c r="BN49"/>
  <c r="BO49" s="1"/>
  <c r="BW66"/>
  <c r="AX76"/>
  <c r="AX80"/>
  <c r="BO110"/>
  <c r="AX111"/>
  <c r="BM111"/>
  <c r="BN111" s="1"/>
  <c r="AX112"/>
  <c r="AX113"/>
  <c r="AY112" s="1"/>
  <c r="BO116"/>
  <c r="BO118"/>
  <c r="BM122"/>
  <c r="BN122" s="1"/>
  <c r="BW127"/>
  <c r="BN129"/>
  <c r="BW130"/>
  <c r="BN145"/>
  <c r="BM149"/>
  <c r="BN149" s="1"/>
  <c r="BO149" s="1"/>
  <c r="BM155"/>
  <c r="BN155" s="1"/>
  <c r="BO155" s="1"/>
  <c r="BN193"/>
  <c r="BO193" s="1"/>
  <c r="BN200"/>
  <c r="BO200" s="1"/>
  <c r="BN205"/>
  <c r="BN208"/>
  <c r="BM265"/>
  <c r="BN265" s="1"/>
  <c r="BO264" s="1"/>
  <c r="BW33"/>
  <c r="BW82"/>
  <c r="BN33"/>
  <c r="BW49"/>
  <c r="BX49" s="1"/>
  <c r="BX50"/>
  <c r="BN51"/>
  <c r="BN58"/>
  <c r="BN59"/>
  <c r="AX68"/>
  <c r="BN74"/>
  <c r="BW74"/>
  <c r="BN82"/>
  <c r="BN83"/>
  <c r="BW83"/>
  <c r="BO114"/>
  <c r="AX125"/>
  <c r="BO161"/>
  <c r="BN196"/>
  <c r="BN212"/>
  <c r="BN216"/>
  <c r="BN237"/>
  <c r="BO236" s="1"/>
  <c r="BN238"/>
  <c r="BO237" s="1"/>
  <c r="BN245"/>
  <c r="BO244" s="1"/>
  <c r="BN257"/>
  <c r="BO256" s="1"/>
  <c r="BN258"/>
  <c r="BN277"/>
  <c r="BO277" s="1"/>
  <c r="BI41"/>
  <c r="BI74"/>
  <c r="BI82"/>
  <c r="BJ81" s="1"/>
  <c r="BJ142"/>
  <c r="BI147"/>
  <c r="BI151"/>
  <c r="BJ150" s="1"/>
  <c r="BI164"/>
  <c r="BI172"/>
  <c r="BJ113"/>
  <c r="BJ115"/>
  <c r="BJ86"/>
  <c r="BJ90"/>
  <c r="BJ94"/>
  <c r="BJ98"/>
  <c r="BJ102"/>
  <c r="BJ106"/>
  <c r="BJ117"/>
  <c r="BI141"/>
  <c r="BI166"/>
  <c r="BI174"/>
  <c r="BI33"/>
  <c r="BI66"/>
  <c r="BI119"/>
  <c r="BI145"/>
  <c r="AQ82"/>
  <c r="AS82" s="1"/>
  <c r="AQ44"/>
  <c r="AS44" s="1"/>
  <c r="AQ53"/>
  <c r="AS53" s="1"/>
  <c r="AQ69"/>
  <c r="F17"/>
  <c r="AQ36"/>
  <c r="AS36" s="1"/>
  <c r="AQ61"/>
  <c r="AS61" s="1"/>
  <c r="AM228"/>
  <c r="AK238"/>
  <c r="AM245"/>
  <c r="AM247"/>
  <c r="AK248"/>
  <c r="AM251"/>
  <c r="AM215"/>
  <c r="AM225"/>
  <c r="AM233"/>
  <c r="AK237"/>
  <c r="AM239"/>
  <c r="AK246"/>
  <c r="AM256"/>
  <c r="AM263"/>
  <c r="T51"/>
  <c r="AF213"/>
  <c r="AM214"/>
  <c r="AF221"/>
  <c r="AM222"/>
  <c r="AM255"/>
  <c r="AM264"/>
  <c r="AA171"/>
  <c r="AH171"/>
  <c r="AI171" s="1"/>
  <c r="AI37"/>
  <c r="AB59"/>
  <c r="AI82"/>
  <c r="AF159"/>
  <c r="AB176"/>
  <c r="AI199"/>
  <c r="AE199"/>
  <c r="AF199" s="1"/>
  <c r="AF215"/>
  <c r="AF54"/>
  <c r="AE131"/>
  <c r="AI29"/>
  <c r="AM130"/>
  <c r="AM156"/>
  <c r="AB171"/>
  <c r="AE182"/>
  <c r="AH190"/>
  <c r="AI190" s="1"/>
  <c r="AM191"/>
  <c r="AA199"/>
  <c r="AB199" s="1"/>
  <c r="AC198" s="1"/>
  <c r="AM201"/>
  <c r="AM207"/>
  <c r="AM209"/>
  <c r="AK235"/>
  <c r="AB50"/>
  <c r="AB75"/>
  <c r="AB42"/>
  <c r="AM128"/>
  <c r="AM134"/>
  <c r="AM136"/>
  <c r="AM138"/>
  <c r="AM154"/>
  <c r="AM155"/>
  <c r="AA182"/>
  <c r="AM223"/>
  <c r="AB34"/>
  <c r="AC34" s="1"/>
  <c r="AF46"/>
  <c r="AM131"/>
  <c r="Y162"/>
  <c r="Z182"/>
  <c r="AB182" s="1"/>
  <c r="AB186"/>
  <c r="AM193"/>
  <c r="AM199"/>
  <c r="AM206"/>
  <c r="AM217"/>
  <c r="AK230"/>
  <c r="AS69"/>
  <c r="AB47"/>
  <c r="AB72"/>
  <c r="AE32"/>
  <c r="AF32" s="1"/>
  <c r="AA32"/>
  <c r="AB32" s="1"/>
  <c r="AW32"/>
  <c r="AX32" s="1"/>
  <c r="AY31" s="1"/>
  <c r="BR36"/>
  <c r="BS36" s="1"/>
  <c r="BT35" s="1"/>
  <c r="AA37"/>
  <c r="BB37"/>
  <c r="BC37" s="1"/>
  <c r="AH38"/>
  <c r="AI38" s="1"/>
  <c r="AJ37" s="1"/>
  <c r="AA45"/>
  <c r="BB45"/>
  <c r="BC45" s="1"/>
  <c r="BD44" s="1"/>
  <c r="AR52"/>
  <c r="BR61"/>
  <c r="BS61" s="1"/>
  <c r="BT60" s="1"/>
  <c r="AA62"/>
  <c r="BD61"/>
  <c r="BB62"/>
  <c r="BC62" s="1"/>
  <c r="AW65"/>
  <c r="AX65" s="1"/>
  <c r="AY64" s="1"/>
  <c r="BR69"/>
  <c r="BS69" s="1"/>
  <c r="BT68" s="1"/>
  <c r="AA70"/>
  <c r="AE73"/>
  <c r="AF73" s="1"/>
  <c r="AA73"/>
  <c r="AB73" s="1"/>
  <c r="AW73"/>
  <c r="AX73" s="1"/>
  <c r="AY72" s="1"/>
  <c r="AH79"/>
  <c r="AI79" s="1"/>
  <c r="AA79"/>
  <c r="BV81"/>
  <c r="BW81" s="1"/>
  <c r="BX81" s="1"/>
  <c r="BM81"/>
  <c r="BN81" s="1"/>
  <c r="AE86"/>
  <c r="AF86" s="1"/>
  <c r="AA86"/>
  <c r="AH86"/>
  <c r="AI86" s="1"/>
  <c r="AJ86" s="1"/>
  <c r="BV91"/>
  <c r="BW91" s="1"/>
  <c r="BM91"/>
  <c r="BN91" s="1"/>
  <c r="BV95"/>
  <c r="BW95" s="1"/>
  <c r="BM95"/>
  <c r="BN95" s="1"/>
  <c r="BV103"/>
  <c r="BW103" s="1"/>
  <c r="BM103"/>
  <c r="BN103" s="1"/>
  <c r="BV107"/>
  <c r="BW107" s="1"/>
  <c r="BM107"/>
  <c r="BN107" s="1"/>
  <c r="BO107" s="1"/>
  <c r="AE110"/>
  <c r="AF110" s="1"/>
  <c r="AA110"/>
  <c r="AH110"/>
  <c r="AI110" s="1"/>
  <c r="AD110"/>
  <c r="AD109"/>
  <c r="AH35"/>
  <c r="AI35" s="1"/>
  <c r="AE35"/>
  <c r="AF35" s="1"/>
  <c r="BX34"/>
  <c r="BV35"/>
  <c r="BW35" s="1"/>
  <c r="BM35"/>
  <c r="BN35" s="1"/>
  <c r="BO34" s="1"/>
  <c r="BV36"/>
  <c r="BW36" s="1"/>
  <c r="BM36"/>
  <c r="BN36" s="1"/>
  <c r="BH38"/>
  <c r="BI38" s="1"/>
  <c r="BJ37" s="1"/>
  <c r="AH43"/>
  <c r="AI43" s="1"/>
  <c r="AE43"/>
  <c r="AF43" s="1"/>
  <c r="AC42"/>
  <c r="BO42"/>
  <c r="BV43"/>
  <c r="BW43" s="1"/>
  <c r="BX42" s="1"/>
  <c r="BM43"/>
  <c r="BN43" s="1"/>
  <c r="BV44"/>
  <c r="BW44" s="1"/>
  <c r="BM44"/>
  <c r="BN44" s="1"/>
  <c r="BJ45"/>
  <c r="BH46"/>
  <c r="BI46" s="1"/>
  <c r="AH52"/>
  <c r="AI52" s="1"/>
  <c r="AE52"/>
  <c r="AF52" s="1"/>
  <c r="AC51"/>
  <c r="BX51"/>
  <c r="BV52"/>
  <c r="BW52" s="1"/>
  <c r="BM52"/>
  <c r="BN52" s="1"/>
  <c r="BV53"/>
  <c r="BW53" s="1"/>
  <c r="BM53"/>
  <c r="BN53" s="1"/>
  <c r="BJ54"/>
  <c r="BH55"/>
  <c r="BI55" s="1"/>
  <c r="AH60"/>
  <c r="AI60" s="1"/>
  <c r="AE60"/>
  <c r="AF60" s="1"/>
  <c r="AC59"/>
  <c r="BV60"/>
  <c r="BW60" s="1"/>
  <c r="BX59" s="1"/>
  <c r="BM60"/>
  <c r="BN60" s="1"/>
  <c r="BV61"/>
  <c r="BW61" s="1"/>
  <c r="BM61"/>
  <c r="BN61" s="1"/>
  <c r="BH63"/>
  <c r="BI63" s="1"/>
  <c r="AH68"/>
  <c r="AI68" s="1"/>
  <c r="AE68"/>
  <c r="AF68" s="1"/>
  <c r="AC67"/>
  <c r="BX67"/>
  <c r="BV68"/>
  <c r="BW68" s="1"/>
  <c r="BM68"/>
  <c r="BN68" s="1"/>
  <c r="BV69"/>
  <c r="BW69" s="1"/>
  <c r="BM69"/>
  <c r="BN69" s="1"/>
  <c r="BH71"/>
  <c r="BI71" s="1"/>
  <c r="BH80"/>
  <c r="BI80" s="1"/>
  <c r="BJ80" s="1"/>
  <c r="AR81"/>
  <c r="AW82"/>
  <c r="AX82" s="1"/>
  <c r="AY82" s="1"/>
  <c r="BR82"/>
  <c r="BS82" s="1"/>
  <c r="BT82" s="1"/>
  <c r="AE87"/>
  <c r="AF87" s="1"/>
  <c r="AA87"/>
  <c r="AH87"/>
  <c r="AI87" s="1"/>
  <c r="AD86"/>
  <c r="BV88"/>
  <c r="BW88" s="1"/>
  <c r="BM88"/>
  <c r="BN88" s="1"/>
  <c r="AE91"/>
  <c r="AF91" s="1"/>
  <c r="AA91"/>
  <c r="AH91"/>
  <c r="AI91" s="1"/>
  <c r="AD90"/>
  <c r="BV92"/>
  <c r="BW92" s="1"/>
  <c r="BX92" s="1"/>
  <c r="BM92"/>
  <c r="BN92" s="1"/>
  <c r="AE95"/>
  <c r="AF95" s="1"/>
  <c r="AA95"/>
  <c r="AH95"/>
  <c r="AI95" s="1"/>
  <c r="AD94"/>
  <c r="BV96"/>
  <c r="BW96" s="1"/>
  <c r="BM96"/>
  <c r="BN96" s="1"/>
  <c r="BO96" s="1"/>
  <c r="AE99"/>
  <c r="AF99" s="1"/>
  <c r="AA99"/>
  <c r="AH99"/>
  <c r="AI99" s="1"/>
  <c r="AD98"/>
  <c r="BV100"/>
  <c r="BW100" s="1"/>
  <c r="BX99" s="1"/>
  <c r="BM100"/>
  <c r="BN100" s="1"/>
  <c r="AE103"/>
  <c r="AF103" s="1"/>
  <c r="AA103"/>
  <c r="AH103"/>
  <c r="AI103" s="1"/>
  <c r="AD102"/>
  <c r="BV104"/>
  <c r="BW104" s="1"/>
  <c r="BM104"/>
  <c r="BN104" s="1"/>
  <c r="AE107"/>
  <c r="AF107" s="1"/>
  <c r="AA107"/>
  <c r="AH107"/>
  <c r="AI107" s="1"/>
  <c r="AD106"/>
  <c r="BV108"/>
  <c r="BW108" s="1"/>
  <c r="BM108"/>
  <c r="BN108" s="1"/>
  <c r="Y123"/>
  <c r="AM122"/>
  <c r="AI139"/>
  <c r="AI145"/>
  <c r="AI153"/>
  <c r="AH40"/>
  <c r="AI40" s="1"/>
  <c r="AH45"/>
  <c r="AI45" s="1"/>
  <c r="AH62"/>
  <c r="AI62" s="1"/>
  <c r="AE63"/>
  <c r="AF63" s="1"/>
  <c r="AH65"/>
  <c r="AI65" s="1"/>
  <c r="AH70"/>
  <c r="AI70" s="1"/>
  <c r="BX29"/>
  <c r="BT29"/>
  <c r="BT30"/>
  <c r="BD31"/>
  <c r="BI31"/>
  <c r="BJ30" s="1"/>
  <c r="AF33"/>
  <c r="AQ33"/>
  <c r="AS33" s="1"/>
  <c r="BC34"/>
  <c r="BD34" s="1"/>
  <c r="BS34"/>
  <c r="BT33" s="1"/>
  <c r="AB37"/>
  <c r="BI39"/>
  <c r="AF41"/>
  <c r="AQ41"/>
  <c r="AS41" s="1"/>
  <c r="AY42"/>
  <c r="BC42"/>
  <c r="BD42" s="1"/>
  <c r="BS42"/>
  <c r="BT41" s="1"/>
  <c r="AB45"/>
  <c r="BI47"/>
  <c r="AF49"/>
  <c r="AQ49"/>
  <c r="AS49" s="1"/>
  <c r="BC50"/>
  <c r="BS50"/>
  <c r="BT49" s="1"/>
  <c r="BC51"/>
  <c r="BS51"/>
  <c r="BT51" s="1"/>
  <c r="BT55"/>
  <c r="BI56"/>
  <c r="BJ56" s="1"/>
  <c r="AF58"/>
  <c r="AQ58"/>
  <c r="AS58" s="1"/>
  <c r="BC59"/>
  <c r="BS59"/>
  <c r="BT58" s="1"/>
  <c r="AB62"/>
  <c r="BI64"/>
  <c r="BJ64" s="1"/>
  <c r="AF66"/>
  <c r="AQ66"/>
  <c r="AS66" s="1"/>
  <c r="BC67"/>
  <c r="BS67"/>
  <c r="BT66" s="1"/>
  <c r="AB70"/>
  <c r="BT71"/>
  <c r="BI72"/>
  <c r="AF74"/>
  <c r="AQ74"/>
  <c r="AS74" s="1"/>
  <c r="AY74"/>
  <c r="AY75"/>
  <c r="BC75"/>
  <c r="BT75"/>
  <c r="AB78"/>
  <c r="AQ78"/>
  <c r="AS78" s="1"/>
  <c r="BS79"/>
  <c r="Z304"/>
  <c r="AF83"/>
  <c r="AY83"/>
  <c r="AB86"/>
  <c r="BD86"/>
  <c r="BJ87"/>
  <c r="BD90"/>
  <c r="BJ91"/>
  <c r="BD94"/>
  <c r="BJ95"/>
  <c r="BD98"/>
  <c r="BJ99"/>
  <c r="BD102"/>
  <c r="BJ103"/>
  <c r="BD106"/>
  <c r="BJ107"/>
  <c r="AB110"/>
  <c r="BO111"/>
  <c r="BO113"/>
  <c r="BO115"/>
  <c r="BO117"/>
  <c r="BJ119"/>
  <c r="BD120"/>
  <c r="BT120"/>
  <c r="BX122"/>
  <c r="BD124"/>
  <c r="BD127"/>
  <c r="BD130"/>
  <c r="BJ146"/>
  <c r="AH30"/>
  <c r="AI30" s="1"/>
  <c r="AE40"/>
  <c r="AF40" s="1"/>
  <c r="AA40"/>
  <c r="AB40" s="1"/>
  <c r="AW40"/>
  <c r="AX40" s="1"/>
  <c r="AY39" s="1"/>
  <c r="AR43"/>
  <c r="AH46"/>
  <c r="AI46" s="1"/>
  <c r="AJ45" s="1"/>
  <c r="AE48"/>
  <c r="AF48" s="1"/>
  <c r="AG48" s="1"/>
  <c r="AA48"/>
  <c r="AB48" s="1"/>
  <c r="AE57"/>
  <c r="AF57" s="1"/>
  <c r="AA57"/>
  <c r="AB57" s="1"/>
  <c r="AW57"/>
  <c r="AX57" s="1"/>
  <c r="AY56" s="1"/>
  <c r="AE65"/>
  <c r="AF65" s="1"/>
  <c r="AA65"/>
  <c r="AB65" s="1"/>
  <c r="AC64" s="1"/>
  <c r="AA78"/>
  <c r="AE78"/>
  <c r="AF78" s="1"/>
  <c r="AH80"/>
  <c r="AI80" s="1"/>
  <c r="AE80"/>
  <c r="AF80" s="1"/>
  <c r="AE90"/>
  <c r="AF90" s="1"/>
  <c r="AA90"/>
  <c r="AB90" s="1"/>
  <c r="AH90"/>
  <c r="AI90" s="1"/>
  <c r="AJ90" s="1"/>
  <c r="AD89"/>
  <c r="AE98"/>
  <c r="AF98" s="1"/>
  <c r="AA98"/>
  <c r="AB98" s="1"/>
  <c r="AH98"/>
  <c r="AI98" s="1"/>
  <c r="AJ98" s="1"/>
  <c r="AD97"/>
  <c r="AE102"/>
  <c r="AF102" s="1"/>
  <c r="AA102"/>
  <c r="AB102" s="1"/>
  <c r="AH102"/>
  <c r="AI102" s="1"/>
  <c r="AJ102" s="1"/>
  <c r="AD101"/>
  <c r="AH31"/>
  <c r="AI31" s="1"/>
  <c r="AE31"/>
  <c r="AF31" s="1"/>
  <c r="BX30"/>
  <c r="BV31"/>
  <c r="BW31" s="1"/>
  <c r="BM31"/>
  <c r="BN31" s="1"/>
  <c r="BO30" s="1"/>
  <c r="BV32"/>
  <c r="BW32" s="1"/>
  <c r="BM32"/>
  <c r="BN32" s="1"/>
  <c r="BO32" s="1"/>
  <c r="BH34"/>
  <c r="BI34" s="1"/>
  <c r="BJ33" s="1"/>
  <c r="AH39"/>
  <c r="AI39" s="1"/>
  <c r="AJ39" s="1"/>
  <c r="AE39"/>
  <c r="AF39" s="1"/>
  <c r="BX38"/>
  <c r="BV39"/>
  <c r="BW39" s="1"/>
  <c r="BM39"/>
  <c r="BN39" s="1"/>
  <c r="BO38" s="1"/>
  <c r="BV40"/>
  <c r="BW40" s="1"/>
  <c r="BX40" s="1"/>
  <c r="BM40"/>
  <c r="BN40" s="1"/>
  <c r="BO40" s="1"/>
  <c r="BH42"/>
  <c r="BI42" s="1"/>
  <c r="BJ41" s="1"/>
  <c r="AH47"/>
  <c r="AI47" s="1"/>
  <c r="AE47"/>
  <c r="AF47" s="1"/>
  <c r="AG46" s="1"/>
  <c r="BX46"/>
  <c r="BV47"/>
  <c r="BW47" s="1"/>
  <c r="BM47"/>
  <c r="BN47" s="1"/>
  <c r="BO46" s="1"/>
  <c r="BV48"/>
  <c r="BW48" s="1"/>
  <c r="BM48"/>
  <c r="BN48" s="1"/>
  <c r="BO48" s="1"/>
  <c r="BH50"/>
  <c r="BI50" s="1"/>
  <c r="BJ49" s="1"/>
  <c r="AH56"/>
  <c r="AI56" s="1"/>
  <c r="AJ56" s="1"/>
  <c r="AE56"/>
  <c r="AF56" s="1"/>
  <c r="AG56" s="1"/>
  <c r="BX55"/>
  <c r="BV56"/>
  <c r="BW56" s="1"/>
  <c r="BM56"/>
  <c r="BN56" s="1"/>
  <c r="BO55" s="1"/>
  <c r="BV57"/>
  <c r="BW57" s="1"/>
  <c r="BX57" s="1"/>
  <c r="BM57"/>
  <c r="BN57" s="1"/>
  <c r="BO57" s="1"/>
  <c r="BH59"/>
  <c r="BI59" s="1"/>
  <c r="BJ58" s="1"/>
  <c r="AH64"/>
  <c r="AI64" s="1"/>
  <c r="AJ64" s="1"/>
  <c r="AE64"/>
  <c r="AF64" s="1"/>
  <c r="AG63" s="1"/>
  <c r="BX63"/>
  <c r="BV64"/>
  <c r="BW64" s="1"/>
  <c r="BM64"/>
  <c r="BN64" s="1"/>
  <c r="BO63" s="1"/>
  <c r="BV65"/>
  <c r="BW65" s="1"/>
  <c r="BX65" s="1"/>
  <c r="BM65"/>
  <c r="BN65" s="1"/>
  <c r="BO65" s="1"/>
  <c r="BH67"/>
  <c r="BI67" s="1"/>
  <c r="BJ66" s="1"/>
  <c r="AH72"/>
  <c r="AI72" s="1"/>
  <c r="AJ72" s="1"/>
  <c r="AE72"/>
  <c r="AF72" s="1"/>
  <c r="BX71"/>
  <c r="BV72"/>
  <c r="BW72" s="1"/>
  <c r="BM72"/>
  <c r="BN72" s="1"/>
  <c r="BO71" s="1"/>
  <c r="BV73"/>
  <c r="BW73" s="1"/>
  <c r="BM73"/>
  <c r="BN73" s="1"/>
  <c r="BO73" s="1"/>
  <c r="BH76"/>
  <c r="AR77"/>
  <c r="AW78"/>
  <c r="BR78"/>
  <c r="BS78" s="1"/>
  <c r="BH84"/>
  <c r="AR85"/>
  <c r="BV86"/>
  <c r="BW86" s="1"/>
  <c r="BM86"/>
  <c r="BN86" s="1"/>
  <c r="BO86" s="1"/>
  <c r="AE89"/>
  <c r="AF89" s="1"/>
  <c r="AG89" s="1"/>
  <c r="AA89"/>
  <c r="AB89" s="1"/>
  <c r="AC89" s="1"/>
  <c r="AH89"/>
  <c r="AI89" s="1"/>
  <c r="AJ89" s="1"/>
  <c r="AD88"/>
  <c r="BV90"/>
  <c r="BW90" s="1"/>
  <c r="BX90" s="1"/>
  <c r="BM90"/>
  <c r="BN90" s="1"/>
  <c r="BO90" s="1"/>
  <c r="AE93"/>
  <c r="AF93" s="1"/>
  <c r="AA93"/>
  <c r="AB93" s="1"/>
  <c r="AH93"/>
  <c r="AI93" s="1"/>
  <c r="AD92"/>
  <c r="BV94"/>
  <c r="BW94" s="1"/>
  <c r="BX94" s="1"/>
  <c r="BM94"/>
  <c r="BN94" s="1"/>
  <c r="BO94" s="1"/>
  <c r="AE97"/>
  <c r="AF97" s="1"/>
  <c r="AA97"/>
  <c r="AH97"/>
  <c r="AI97" s="1"/>
  <c r="AJ97" s="1"/>
  <c r="AD96"/>
  <c r="BV98"/>
  <c r="BW98" s="1"/>
  <c r="BM98"/>
  <c r="BN98" s="1"/>
  <c r="AE101"/>
  <c r="AF101" s="1"/>
  <c r="AA101"/>
  <c r="AB101" s="1"/>
  <c r="AH101"/>
  <c r="AI101" s="1"/>
  <c r="AJ101" s="1"/>
  <c r="AD100"/>
  <c r="BV102"/>
  <c r="BW102" s="1"/>
  <c r="BX102" s="1"/>
  <c r="BM102"/>
  <c r="BN102" s="1"/>
  <c r="BO102" s="1"/>
  <c r="AE105"/>
  <c r="AF105" s="1"/>
  <c r="AG105" s="1"/>
  <c r="AA105"/>
  <c r="AH105"/>
  <c r="AI105" s="1"/>
  <c r="AD104"/>
  <c r="BV106"/>
  <c r="BW106" s="1"/>
  <c r="BX106" s="1"/>
  <c r="BM106"/>
  <c r="BN106" s="1"/>
  <c r="AE109"/>
  <c r="AF109" s="1"/>
  <c r="AA109"/>
  <c r="AB109" s="1"/>
  <c r="AC109" s="1"/>
  <c r="AH109"/>
  <c r="AI109" s="1"/>
  <c r="AJ109" s="1"/>
  <c r="AD108"/>
  <c r="BR119"/>
  <c r="BS119" s="1"/>
  <c r="BT118" s="1"/>
  <c r="BT119"/>
  <c r="Z122"/>
  <c r="AM121"/>
  <c r="AI141"/>
  <c r="AI149"/>
  <c r="AE29"/>
  <c r="AF29" s="1"/>
  <c r="BJ40"/>
  <c r="BJ57"/>
  <c r="BJ65"/>
  <c r="AH73"/>
  <c r="AI73" s="1"/>
  <c r="BJ73"/>
  <c r="BI76"/>
  <c r="BJ76" s="1"/>
  <c r="AX78"/>
  <c r="AY78" s="1"/>
  <c r="AA29"/>
  <c r="AY30"/>
  <c r="BD35"/>
  <c r="BI36"/>
  <c r="BJ35" s="1"/>
  <c r="AE37"/>
  <c r="AF37" s="1"/>
  <c r="AQ37"/>
  <c r="AS37" s="1"/>
  <c r="BD37"/>
  <c r="BS37"/>
  <c r="BT36" s="1"/>
  <c r="AA38"/>
  <c r="AY38"/>
  <c r="BT42"/>
  <c r="BD43"/>
  <c r="BI44"/>
  <c r="BJ43" s="1"/>
  <c r="AE45"/>
  <c r="AF45" s="1"/>
  <c r="AG45" s="1"/>
  <c r="AQ45"/>
  <c r="AS45" s="1"/>
  <c r="BD45"/>
  <c r="BS45"/>
  <c r="AA46"/>
  <c r="AJ46"/>
  <c r="AY46"/>
  <c r="BI53"/>
  <c r="BJ52" s="1"/>
  <c r="AQ54"/>
  <c r="AS54" s="1"/>
  <c r="BS54"/>
  <c r="BT54" s="1"/>
  <c r="AA55"/>
  <c r="AY55"/>
  <c r="AG57"/>
  <c r="BD60"/>
  <c r="BI61"/>
  <c r="BJ60" s="1"/>
  <c r="AE62"/>
  <c r="AF62" s="1"/>
  <c r="AG62" s="1"/>
  <c r="AQ62"/>
  <c r="AS62" s="1"/>
  <c r="BD62"/>
  <c r="BS62"/>
  <c r="BT62" s="1"/>
  <c r="AA63"/>
  <c r="AY63"/>
  <c r="AG65"/>
  <c r="AY65"/>
  <c r="BI69"/>
  <c r="BJ68" s="1"/>
  <c r="AE70"/>
  <c r="AF70" s="1"/>
  <c r="AQ70"/>
  <c r="AS70" s="1"/>
  <c r="BS70"/>
  <c r="AA71"/>
  <c r="AB71" s="1"/>
  <c r="AC71" s="1"/>
  <c r="AY71"/>
  <c r="AB76"/>
  <c r="BJ77"/>
  <c r="AH78"/>
  <c r="AI78" s="1"/>
  <c r="AJ78" s="1"/>
  <c r="AE79"/>
  <c r="AF79" s="1"/>
  <c r="AG79" s="1"/>
  <c r="AY79"/>
  <c r="AB84"/>
  <c r="BJ85"/>
  <c r="BJ89"/>
  <c r="AG90"/>
  <c r="BJ93"/>
  <c r="BJ97"/>
  <c r="AG98"/>
  <c r="BJ101"/>
  <c r="BJ105"/>
  <c r="BJ109"/>
  <c r="AD124"/>
  <c r="AR35"/>
  <c r="BR44"/>
  <c r="BS44" s="1"/>
  <c r="BT44" s="1"/>
  <c r="AW48"/>
  <c r="AX48" s="1"/>
  <c r="AY48" s="1"/>
  <c r="BR53"/>
  <c r="BS53" s="1"/>
  <c r="BT53" s="1"/>
  <c r="AA54"/>
  <c r="AB54" s="1"/>
  <c r="BB54"/>
  <c r="BC54" s="1"/>
  <c r="BD54" s="1"/>
  <c r="AH55"/>
  <c r="AI55" s="1"/>
  <c r="AJ55" s="1"/>
  <c r="AR60"/>
  <c r="AH63"/>
  <c r="AI63" s="1"/>
  <c r="AJ63" s="1"/>
  <c r="AR68"/>
  <c r="BB70"/>
  <c r="BC70" s="1"/>
  <c r="BD69" s="1"/>
  <c r="AH71"/>
  <c r="AI71" s="1"/>
  <c r="AJ71" s="1"/>
  <c r="BB83"/>
  <c r="BC83" s="1"/>
  <c r="BV87"/>
  <c r="BW87" s="1"/>
  <c r="BM87"/>
  <c r="BN87" s="1"/>
  <c r="AE94"/>
  <c r="AF94" s="1"/>
  <c r="AG94" s="1"/>
  <c r="AA94"/>
  <c r="AB94" s="1"/>
  <c r="AH94"/>
  <c r="AI94" s="1"/>
  <c r="AJ93" s="1"/>
  <c r="AD93"/>
  <c r="BV99"/>
  <c r="BW99" s="1"/>
  <c r="BM99"/>
  <c r="BN99" s="1"/>
  <c r="BO99" s="1"/>
  <c r="AE106"/>
  <c r="AF106" s="1"/>
  <c r="AG106" s="1"/>
  <c r="AA106"/>
  <c r="AB106" s="1"/>
  <c r="AJ105"/>
  <c r="AH106"/>
  <c r="AI106" s="1"/>
  <c r="AJ106" s="1"/>
  <c r="AD105"/>
  <c r="AA121"/>
  <c r="AH121"/>
  <c r="AI121" s="1"/>
  <c r="AE121"/>
  <c r="AF121" s="1"/>
  <c r="AQ126"/>
  <c r="AQ122"/>
  <c r="AS122" s="1"/>
  <c r="AQ118"/>
  <c r="AS118" s="1"/>
  <c r="AQ117"/>
  <c r="AS117" s="1"/>
  <c r="AQ116"/>
  <c r="AS116" s="1"/>
  <c r="AQ115"/>
  <c r="AS115" s="1"/>
  <c r="AQ114"/>
  <c r="AS114" s="1"/>
  <c r="AQ113"/>
  <c r="AS113" s="1"/>
  <c r="AQ112"/>
  <c r="AS112" s="1"/>
  <c r="AQ111"/>
  <c r="AS111" s="1"/>
  <c r="AQ139"/>
  <c r="AQ138"/>
  <c r="AQ137"/>
  <c r="AQ136"/>
  <c r="AQ135"/>
  <c r="AQ134"/>
  <c r="AQ133"/>
  <c r="AQ132"/>
  <c r="AQ131"/>
  <c r="AS131" s="1"/>
  <c r="AQ127"/>
  <c r="AS127" s="1"/>
  <c r="AQ84"/>
  <c r="AQ80"/>
  <c r="AQ76"/>
  <c r="AQ72"/>
  <c r="AQ68"/>
  <c r="AQ64"/>
  <c r="AQ60"/>
  <c r="AQ56"/>
  <c r="AQ52"/>
  <c r="AS52" s="1"/>
  <c r="AT52" s="1"/>
  <c r="AQ47"/>
  <c r="AQ43"/>
  <c r="AQ39"/>
  <c r="AQ35"/>
  <c r="AQ31"/>
  <c r="AQ28"/>
  <c r="F16"/>
  <c r="AQ129"/>
  <c r="AS129" s="1"/>
  <c r="AQ125"/>
  <c r="AS125" s="1"/>
  <c r="AQ130"/>
  <c r="AS130" s="1"/>
  <c r="AQ121"/>
  <c r="AS121" s="1"/>
  <c r="AT121" s="1"/>
  <c r="AQ120"/>
  <c r="AS120" s="1"/>
  <c r="AQ83"/>
  <c r="AS83" s="1"/>
  <c r="AQ79"/>
  <c r="AS79" s="1"/>
  <c r="AQ75"/>
  <c r="AS75" s="1"/>
  <c r="AQ71"/>
  <c r="AS71" s="1"/>
  <c r="AT70" s="1"/>
  <c r="AQ67"/>
  <c r="AS67" s="1"/>
  <c r="AT66" s="1"/>
  <c r="AQ63"/>
  <c r="AS63" s="1"/>
  <c r="AQ59"/>
  <c r="AS59" s="1"/>
  <c r="AT58" s="1"/>
  <c r="AQ55"/>
  <c r="AS55" s="1"/>
  <c r="AQ51"/>
  <c r="AS51" s="1"/>
  <c r="AQ50"/>
  <c r="AS50" s="1"/>
  <c r="AQ46"/>
  <c r="AS46" s="1"/>
  <c r="AQ42"/>
  <c r="AS42" s="1"/>
  <c r="AQ38"/>
  <c r="AS38" s="1"/>
  <c r="AQ34"/>
  <c r="AS34" s="1"/>
  <c r="AQ30"/>
  <c r="AS30" s="1"/>
  <c r="AQ29"/>
  <c r="AS29" s="1"/>
  <c r="AR7"/>
  <c r="G10" s="1"/>
  <c r="AQ124"/>
  <c r="AS124" s="1"/>
  <c r="AQ128"/>
  <c r="AQ123"/>
  <c r="AS123" s="1"/>
  <c r="AQ110"/>
  <c r="AS110" s="1"/>
  <c r="AT110" s="1"/>
  <c r="AQ109"/>
  <c r="AS109" s="1"/>
  <c r="AQ108"/>
  <c r="AS108" s="1"/>
  <c r="AQ107"/>
  <c r="AS107" s="1"/>
  <c r="AQ106"/>
  <c r="AS106" s="1"/>
  <c r="AQ105"/>
  <c r="AS105" s="1"/>
  <c r="AQ104"/>
  <c r="AS104" s="1"/>
  <c r="AQ103"/>
  <c r="AS103" s="1"/>
  <c r="AQ102"/>
  <c r="AS102" s="1"/>
  <c r="AQ101"/>
  <c r="AS101" s="1"/>
  <c r="AQ100"/>
  <c r="AS100" s="1"/>
  <c r="AQ99"/>
  <c r="AS99" s="1"/>
  <c r="AQ98"/>
  <c r="AS98" s="1"/>
  <c r="AQ97"/>
  <c r="AS97" s="1"/>
  <c r="AQ96"/>
  <c r="AS96" s="1"/>
  <c r="AQ95"/>
  <c r="AS95" s="1"/>
  <c r="AQ94"/>
  <c r="AS94" s="1"/>
  <c r="AQ93"/>
  <c r="AS93" s="1"/>
  <c r="AQ92"/>
  <c r="AS92" s="1"/>
  <c r="AQ91"/>
  <c r="AS91" s="1"/>
  <c r="AQ90"/>
  <c r="AS90" s="1"/>
  <c r="AQ89"/>
  <c r="AS89" s="1"/>
  <c r="AQ88"/>
  <c r="AS88" s="1"/>
  <c r="AQ87"/>
  <c r="AS87" s="1"/>
  <c r="AQ86"/>
  <c r="AS86" s="1"/>
  <c r="AQ85"/>
  <c r="AQ81"/>
  <c r="AS81" s="1"/>
  <c r="AQ77"/>
  <c r="AR31"/>
  <c r="BT31"/>
  <c r="BR32"/>
  <c r="BS32" s="1"/>
  <c r="BT32" s="1"/>
  <c r="AA33"/>
  <c r="AB33" s="1"/>
  <c r="AC33" s="1"/>
  <c r="BB33"/>
  <c r="BC33" s="1"/>
  <c r="BD33" s="1"/>
  <c r="AH34"/>
  <c r="AI34" s="1"/>
  <c r="AE36"/>
  <c r="AF36" s="1"/>
  <c r="AG36" s="1"/>
  <c r="AA36"/>
  <c r="AB36" s="1"/>
  <c r="AC36" s="1"/>
  <c r="AW36"/>
  <c r="AX36" s="1"/>
  <c r="AY35" s="1"/>
  <c r="AR39"/>
  <c r="BR40"/>
  <c r="BS40" s="1"/>
  <c r="AA41"/>
  <c r="AB41" s="1"/>
  <c r="AC41" s="1"/>
  <c r="BB41"/>
  <c r="BC41" s="1"/>
  <c r="BD41" s="1"/>
  <c r="AH42"/>
  <c r="AI42" s="1"/>
  <c r="AE44"/>
  <c r="AF44" s="1"/>
  <c r="AG44" s="1"/>
  <c r="AA44"/>
  <c r="AB44" s="1"/>
  <c r="AC44" s="1"/>
  <c r="AW44"/>
  <c r="AX44" s="1"/>
  <c r="AY43" s="1"/>
  <c r="AR47"/>
  <c r="BR48"/>
  <c r="BS48" s="1"/>
  <c r="BT48" s="1"/>
  <c r="AA49"/>
  <c r="AB49" s="1"/>
  <c r="AC49" s="1"/>
  <c r="BB49"/>
  <c r="BC49" s="1"/>
  <c r="BD49" s="1"/>
  <c r="AH50"/>
  <c r="AI50" s="1"/>
  <c r="AJ50" s="1"/>
  <c r="AH51"/>
  <c r="AI51" s="1"/>
  <c r="AC50"/>
  <c r="AE53"/>
  <c r="AF53" s="1"/>
  <c r="AG52" s="1"/>
  <c r="AA53"/>
  <c r="AB53" s="1"/>
  <c r="AC52" s="1"/>
  <c r="AW53"/>
  <c r="AX53" s="1"/>
  <c r="AY53" s="1"/>
  <c r="AR56"/>
  <c r="BR57"/>
  <c r="BS57" s="1"/>
  <c r="BT57" s="1"/>
  <c r="AA58"/>
  <c r="AB58" s="1"/>
  <c r="AC58" s="1"/>
  <c r="BB58"/>
  <c r="BC58" s="1"/>
  <c r="BD58" s="1"/>
  <c r="AH59"/>
  <c r="AI59" s="1"/>
  <c r="AE61"/>
  <c r="AF61" s="1"/>
  <c r="AG61" s="1"/>
  <c r="AA61"/>
  <c r="AB61" s="1"/>
  <c r="AC60" s="1"/>
  <c r="AW61"/>
  <c r="AX61" s="1"/>
  <c r="AY60" s="1"/>
  <c r="AR64"/>
  <c r="BR65"/>
  <c r="BS65" s="1"/>
  <c r="BT65" s="1"/>
  <c r="AA66"/>
  <c r="AB66" s="1"/>
  <c r="AC66" s="1"/>
  <c r="BB66"/>
  <c r="BC66" s="1"/>
  <c r="BD66" s="1"/>
  <c r="AH67"/>
  <c r="AI67" s="1"/>
  <c r="AE69"/>
  <c r="AF69" s="1"/>
  <c r="AG69" s="1"/>
  <c r="AA69"/>
  <c r="AB69" s="1"/>
  <c r="AC68" s="1"/>
  <c r="AW69"/>
  <c r="AX69" s="1"/>
  <c r="AR72"/>
  <c r="BR73"/>
  <c r="BS73" s="1"/>
  <c r="AA74"/>
  <c r="AB74" s="1"/>
  <c r="AC74" s="1"/>
  <c r="BB74"/>
  <c r="BC74" s="1"/>
  <c r="AH75"/>
  <c r="AI75" s="1"/>
  <c r="AH76"/>
  <c r="AI76" s="1"/>
  <c r="AE76"/>
  <c r="AF76" s="1"/>
  <c r="AC75"/>
  <c r="AG76"/>
  <c r="BV77"/>
  <c r="BW77" s="1"/>
  <c r="BM77"/>
  <c r="BN77" s="1"/>
  <c r="BB79"/>
  <c r="BC79" s="1"/>
  <c r="BD79" s="1"/>
  <c r="AA82"/>
  <c r="AB82" s="1"/>
  <c r="AE82"/>
  <c r="AF82" s="1"/>
  <c r="AH83"/>
  <c r="AI83" s="1"/>
  <c r="AJ82" s="1"/>
  <c r="AG82"/>
  <c r="AA83"/>
  <c r="AB83" s="1"/>
  <c r="AC83" s="1"/>
  <c r="AH84"/>
  <c r="AI84" s="1"/>
  <c r="AG83"/>
  <c r="AE84"/>
  <c r="AF84" s="1"/>
  <c r="AG84" s="1"/>
  <c r="BV85"/>
  <c r="BW85" s="1"/>
  <c r="BX85" s="1"/>
  <c r="BM85"/>
  <c r="BN85" s="1"/>
  <c r="AE88"/>
  <c r="AF88" s="1"/>
  <c r="AA88"/>
  <c r="AB88" s="1"/>
  <c r="AH88"/>
  <c r="AI88" s="1"/>
  <c r="AJ88" s="1"/>
  <c r="AD87"/>
  <c r="BV89"/>
  <c r="BW89" s="1"/>
  <c r="BX89" s="1"/>
  <c r="BM89"/>
  <c r="BN89" s="1"/>
  <c r="BO89" s="1"/>
  <c r="AE92"/>
  <c r="AF92" s="1"/>
  <c r="AG92" s="1"/>
  <c r="AA92"/>
  <c r="AB92" s="1"/>
  <c r="AJ91"/>
  <c r="AH92"/>
  <c r="AI92" s="1"/>
  <c r="AJ92" s="1"/>
  <c r="AD91"/>
  <c r="BV93"/>
  <c r="BW93" s="1"/>
  <c r="BM93"/>
  <c r="BN93" s="1"/>
  <c r="BO93" s="1"/>
  <c r="AE96"/>
  <c r="AF96" s="1"/>
  <c r="AG96" s="1"/>
  <c r="AA96"/>
  <c r="AB96" s="1"/>
  <c r="AC96" s="1"/>
  <c r="AH96"/>
  <c r="AI96" s="1"/>
  <c r="AJ95" s="1"/>
  <c r="AD95"/>
  <c r="BV97"/>
  <c r="BW97" s="1"/>
  <c r="BX97" s="1"/>
  <c r="BM97"/>
  <c r="BN97" s="1"/>
  <c r="AE100"/>
  <c r="AF100" s="1"/>
  <c r="AG100" s="1"/>
  <c r="AA100"/>
  <c r="AB100" s="1"/>
  <c r="AH100"/>
  <c r="AI100" s="1"/>
  <c r="AJ100" s="1"/>
  <c r="AD99"/>
  <c r="BV101"/>
  <c r="BW101" s="1"/>
  <c r="BX101" s="1"/>
  <c r="BM101"/>
  <c r="BN101" s="1"/>
  <c r="BO101" s="1"/>
  <c r="AE104"/>
  <c r="AF104" s="1"/>
  <c r="AA104"/>
  <c r="AB104" s="1"/>
  <c r="AH104"/>
  <c r="AI104" s="1"/>
  <c r="AJ104" s="1"/>
  <c r="AD103"/>
  <c r="BV105"/>
  <c r="BW105" s="1"/>
  <c r="BX105" s="1"/>
  <c r="BM105"/>
  <c r="BN105" s="1"/>
  <c r="BO105" s="1"/>
  <c r="AE108"/>
  <c r="AF108" s="1"/>
  <c r="AG108" s="1"/>
  <c r="AA108"/>
  <c r="AB108" s="1"/>
  <c r="AC108" s="1"/>
  <c r="AJ107"/>
  <c r="AH108"/>
  <c r="AI108" s="1"/>
  <c r="AJ108" s="1"/>
  <c r="AD107"/>
  <c r="BV109"/>
  <c r="BW109" s="1"/>
  <c r="BX109" s="1"/>
  <c r="BM109"/>
  <c r="BN109" s="1"/>
  <c r="BO109" s="1"/>
  <c r="AH127"/>
  <c r="AI127" s="1"/>
  <c r="AD126"/>
  <c r="AE127"/>
  <c r="AF127" s="1"/>
  <c r="AA127"/>
  <c r="AB127" s="1"/>
  <c r="AC127" s="1"/>
  <c r="AE30"/>
  <c r="AF30" s="1"/>
  <c r="AG30" s="1"/>
  <c r="AH32"/>
  <c r="AI32" s="1"/>
  <c r="BJ32"/>
  <c r="AE38"/>
  <c r="AF38" s="1"/>
  <c r="AG38" s="1"/>
  <c r="AH48"/>
  <c r="AI48" s="1"/>
  <c r="BJ48"/>
  <c r="AH54"/>
  <c r="AI54" s="1"/>
  <c r="AJ54" s="1"/>
  <c r="AE55"/>
  <c r="AF55" s="1"/>
  <c r="AG54" s="1"/>
  <c r="AE71"/>
  <c r="AF71" s="1"/>
  <c r="AG71" s="1"/>
  <c r="BI84"/>
  <c r="BJ84" s="1"/>
  <c r="AB97"/>
  <c r="AC97" s="1"/>
  <c r="AB105"/>
  <c r="AY120"/>
  <c r="AJ29"/>
  <c r="AY29"/>
  <c r="AA30"/>
  <c r="AB30" s="1"/>
  <c r="AC30" s="1"/>
  <c r="AQ27"/>
  <c r="AB29"/>
  <c r="BC31"/>
  <c r="BD30" s="1"/>
  <c r="BJ31"/>
  <c r="AQ32"/>
  <c r="AS32" s="1"/>
  <c r="AT32" s="1"/>
  <c r="BX32"/>
  <c r="AH33"/>
  <c r="AI33" s="1"/>
  <c r="AJ33" s="1"/>
  <c r="BX33"/>
  <c r="AE34"/>
  <c r="AF34" s="1"/>
  <c r="AG34" s="1"/>
  <c r="AX34"/>
  <c r="AY34" s="1"/>
  <c r="BJ34"/>
  <c r="AG35"/>
  <c r="AH36"/>
  <c r="AI36" s="1"/>
  <c r="AJ36" s="1"/>
  <c r="AC37"/>
  <c r="AX37"/>
  <c r="AY37" s="1"/>
  <c r="BN37"/>
  <c r="BW37"/>
  <c r="BX37" s="1"/>
  <c r="AB38"/>
  <c r="AC38" s="1"/>
  <c r="BC39"/>
  <c r="BD38" s="1"/>
  <c r="BJ39"/>
  <c r="AQ40"/>
  <c r="AS40" s="1"/>
  <c r="AH41"/>
  <c r="AI41" s="1"/>
  <c r="AJ41" s="1"/>
  <c r="BX41"/>
  <c r="AE42"/>
  <c r="AF42" s="1"/>
  <c r="AG42" s="1"/>
  <c r="AX42"/>
  <c r="AY41" s="1"/>
  <c r="BJ42"/>
  <c r="AG43"/>
  <c r="AH44"/>
  <c r="AI44" s="1"/>
  <c r="AJ44" s="1"/>
  <c r="BJ44"/>
  <c r="AX45"/>
  <c r="AY45" s="1"/>
  <c r="BN45"/>
  <c r="BW45"/>
  <c r="BX45" s="1"/>
  <c r="AB46"/>
  <c r="AC46" s="1"/>
  <c r="BC47"/>
  <c r="BD46" s="1"/>
  <c r="BJ47"/>
  <c r="AQ48"/>
  <c r="AS48" s="1"/>
  <c r="AT48" s="1"/>
  <c r="AH49"/>
  <c r="AI49" s="1"/>
  <c r="AJ49" s="1"/>
  <c r="AE50"/>
  <c r="AF50" s="1"/>
  <c r="AX50"/>
  <c r="AY49" s="1"/>
  <c r="BD50"/>
  <c r="BJ50"/>
  <c r="AE51"/>
  <c r="AF51" s="1"/>
  <c r="AG51" s="1"/>
  <c r="AX51"/>
  <c r="AY51" s="1"/>
  <c r="BD51"/>
  <c r="BJ51"/>
  <c r="AH53"/>
  <c r="AI53" s="1"/>
  <c r="AJ53" s="1"/>
  <c r="BJ53"/>
  <c r="AX54"/>
  <c r="AY54" s="1"/>
  <c r="BN54"/>
  <c r="BW54"/>
  <c r="BX54" s="1"/>
  <c r="AB55"/>
  <c r="AC55" s="1"/>
  <c r="BC56"/>
  <c r="BD55" s="1"/>
  <c r="AQ57"/>
  <c r="AS57" s="1"/>
  <c r="AT57" s="1"/>
  <c r="AH58"/>
  <c r="AI58" s="1"/>
  <c r="AJ57" s="1"/>
  <c r="BX58"/>
  <c r="AE59"/>
  <c r="AF59" s="1"/>
  <c r="AG59" s="1"/>
  <c r="AX59"/>
  <c r="AY59" s="1"/>
  <c r="BD59"/>
  <c r="BJ59"/>
  <c r="AH61"/>
  <c r="AI61" s="1"/>
  <c r="AJ61" s="1"/>
  <c r="BJ61"/>
  <c r="AX62"/>
  <c r="AY62" s="1"/>
  <c r="BN62"/>
  <c r="BW62"/>
  <c r="BX62" s="1"/>
  <c r="AB63"/>
  <c r="AC63" s="1"/>
  <c r="BC64"/>
  <c r="BD63" s="1"/>
  <c r="AQ65"/>
  <c r="AS65" s="1"/>
  <c r="AT65" s="1"/>
  <c r="AH66"/>
  <c r="AI66" s="1"/>
  <c r="AJ65" s="1"/>
  <c r="BX66"/>
  <c r="AE67"/>
  <c r="AF67" s="1"/>
  <c r="AG67" s="1"/>
  <c r="AX67"/>
  <c r="AY67" s="1"/>
  <c r="BD67"/>
  <c r="BJ67"/>
  <c r="AG68"/>
  <c r="AH69"/>
  <c r="AI69" s="1"/>
  <c r="AJ69" s="1"/>
  <c r="BJ69"/>
  <c r="AX70"/>
  <c r="AY70" s="1"/>
  <c r="BN70"/>
  <c r="BW70"/>
  <c r="BX70" s="1"/>
  <c r="BC72"/>
  <c r="BD71" s="1"/>
  <c r="BJ72"/>
  <c r="AQ73"/>
  <c r="AS73" s="1"/>
  <c r="BX73"/>
  <c r="AH74"/>
  <c r="AI74" s="1"/>
  <c r="AJ73" s="1"/>
  <c r="BX74"/>
  <c r="AE75"/>
  <c r="AF75" s="1"/>
  <c r="AG75" s="1"/>
  <c r="BD75"/>
  <c r="AG77"/>
  <c r="BN78"/>
  <c r="BW78"/>
  <c r="BX78" s="1"/>
  <c r="AB79"/>
  <c r="AA80"/>
  <c r="AB80" s="1"/>
  <c r="AC80" s="1"/>
  <c r="BD80"/>
  <c r="AF81"/>
  <c r="AG81" s="1"/>
  <c r="BO81"/>
  <c r="BX82"/>
  <c r="AG85"/>
  <c r="AB87"/>
  <c r="BD87"/>
  <c r="BO87"/>
  <c r="BX87"/>
  <c r="BJ88"/>
  <c r="AB91"/>
  <c r="BD91"/>
  <c r="BO91"/>
  <c r="BX91"/>
  <c r="BJ92"/>
  <c r="AG93"/>
  <c r="AB95"/>
  <c r="BD95"/>
  <c r="BX95"/>
  <c r="BJ96"/>
  <c r="AG97"/>
  <c r="AB99"/>
  <c r="BD99"/>
  <c r="BJ100"/>
  <c r="AG101"/>
  <c r="AB103"/>
  <c r="BD103"/>
  <c r="BO103"/>
  <c r="BX103"/>
  <c r="BJ104"/>
  <c r="AB107"/>
  <c r="BD107"/>
  <c r="BJ108"/>
  <c r="AG109"/>
  <c r="BJ110"/>
  <c r="BX110"/>
  <c r="BS111"/>
  <c r="BJ112"/>
  <c r="BX112"/>
  <c r="BS113"/>
  <c r="BT112" s="1"/>
  <c r="BJ114"/>
  <c r="BX114"/>
  <c r="BS115"/>
  <c r="BT114" s="1"/>
  <c r="BJ116"/>
  <c r="BX116"/>
  <c r="BS117"/>
  <c r="BJ118"/>
  <c r="AQ119"/>
  <c r="AS119" s="1"/>
  <c r="AF120"/>
  <c r="AG120" s="1"/>
  <c r="AD121"/>
  <c r="AY121"/>
  <c r="AI122"/>
  <c r="AJ121" s="1"/>
  <c r="AY124"/>
  <c r="BT127"/>
  <c r="AH112"/>
  <c r="AI112" s="1"/>
  <c r="AJ112" s="1"/>
  <c r="AD111"/>
  <c r="AH113"/>
  <c r="AI113" s="1"/>
  <c r="AD112"/>
  <c r="AH114"/>
  <c r="AI114" s="1"/>
  <c r="AJ114" s="1"/>
  <c r="AD113"/>
  <c r="AH115"/>
  <c r="AI115" s="1"/>
  <c r="AD114"/>
  <c r="AH116"/>
  <c r="AI116" s="1"/>
  <c r="AJ116" s="1"/>
  <c r="AD115"/>
  <c r="AH117"/>
  <c r="AI117" s="1"/>
  <c r="AD116"/>
  <c r="AH118"/>
  <c r="AI118" s="1"/>
  <c r="AJ118" s="1"/>
  <c r="AD117"/>
  <c r="AH119"/>
  <c r="AI119" s="1"/>
  <c r="AD118"/>
  <c r="AE122"/>
  <c r="AF122" s="1"/>
  <c r="AG121" s="1"/>
  <c r="AA122"/>
  <c r="AM132"/>
  <c r="Y132"/>
  <c r="AR132"/>
  <c r="AR133"/>
  <c r="AR134"/>
  <c r="AR135"/>
  <c r="AR136"/>
  <c r="AR137"/>
  <c r="AR138"/>
  <c r="AR139"/>
  <c r="BB141"/>
  <c r="BC141" s="1"/>
  <c r="BD140" s="1"/>
  <c r="BD141"/>
  <c r="BB145"/>
  <c r="BC145" s="1"/>
  <c r="BD145" s="1"/>
  <c r="BB149"/>
  <c r="BC149" s="1"/>
  <c r="BD149" s="1"/>
  <c r="BD148"/>
  <c r="BB153"/>
  <c r="BC153" s="1"/>
  <c r="BD153" s="1"/>
  <c r="BR163"/>
  <c r="BS163" s="1"/>
  <c r="BT162" s="1"/>
  <c r="AA167"/>
  <c r="AB167" s="1"/>
  <c r="AH167"/>
  <c r="AI167" s="1"/>
  <c r="BH167"/>
  <c r="BI167" s="1"/>
  <c r="AA175"/>
  <c r="AE175"/>
  <c r="AF175" s="1"/>
  <c r="AH175"/>
  <c r="AI175" s="1"/>
  <c r="BT199"/>
  <c r="BT200"/>
  <c r="AE202"/>
  <c r="AF202" s="1"/>
  <c r="AA202"/>
  <c r="AH202"/>
  <c r="AI202" s="1"/>
  <c r="AH77"/>
  <c r="AI77" s="1"/>
  <c r="AJ77" s="1"/>
  <c r="AH81"/>
  <c r="AI81" s="1"/>
  <c r="AJ81" s="1"/>
  <c r="Z303"/>
  <c r="AH85"/>
  <c r="AI85" s="1"/>
  <c r="AJ85" s="1"/>
  <c r="Z307"/>
  <c r="AY86"/>
  <c r="BT86"/>
  <c r="AY87"/>
  <c r="AY88"/>
  <c r="BT88"/>
  <c r="AY89"/>
  <c r="BT89"/>
  <c r="Z311"/>
  <c r="AY90"/>
  <c r="BT90"/>
  <c r="AY91"/>
  <c r="Z313"/>
  <c r="AY92"/>
  <c r="BT92"/>
  <c r="AY93"/>
  <c r="BT93"/>
  <c r="AY94"/>
  <c r="BT94"/>
  <c r="AY95"/>
  <c r="BT95"/>
  <c r="Z317"/>
  <c r="AY96"/>
  <c r="BT96"/>
  <c r="Z318"/>
  <c r="AY97"/>
  <c r="BT97"/>
  <c r="AY98"/>
  <c r="BT98"/>
  <c r="AY99"/>
  <c r="BT99"/>
  <c r="Z321"/>
  <c r="AY100"/>
  <c r="BT100"/>
  <c r="AY101"/>
  <c r="BT101"/>
  <c r="AY102"/>
  <c r="BT102"/>
  <c r="AY103"/>
  <c r="BT103"/>
  <c r="AY104"/>
  <c r="BT104"/>
  <c r="AY105"/>
  <c r="BT105"/>
  <c r="AY106"/>
  <c r="BT106"/>
  <c r="AY107"/>
  <c r="Z329"/>
  <c r="AY108"/>
  <c r="Z330"/>
  <c r="AY109"/>
  <c r="BT109"/>
  <c r="AK331"/>
  <c r="AY110"/>
  <c r="AE111"/>
  <c r="AF111" s="1"/>
  <c r="AG110" s="1"/>
  <c r="AE112"/>
  <c r="AF112" s="1"/>
  <c r="AG111" s="1"/>
  <c r="AE113"/>
  <c r="AF113" s="1"/>
  <c r="AE114"/>
  <c r="AF114" s="1"/>
  <c r="AE115"/>
  <c r="AF115" s="1"/>
  <c r="AE116"/>
  <c r="AF116" s="1"/>
  <c r="AG115" s="1"/>
  <c r="AE117"/>
  <c r="AF117" s="1"/>
  <c r="AE118"/>
  <c r="AF118" s="1"/>
  <c r="AG118" s="1"/>
  <c r="AE119"/>
  <c r="AF119" s="1"/>
  <c r="BN120"/>
  <c r="BO119" s="1"/>
  <c r="AM341"/>
  <c r="AB121"/>
  <c r="AX123"/>
  <c r="AY123" s="1"/>
  <c r="AD125"/>
  <c r="BI125"/>
  <c r="BJ125" s="1"/>
  <c r="AI126"/>
  <c r="AJ126" s="1"/>
  <c r="AR126"/>
  <c r="BV126"/>
  <c r="BW126" s="1"/>
  <c r="BJ127"/>
  <c r="AD127"/>
  <c r="AH128"/>
  <c r="AI128" s="1"/>
  <c r="AJ127" s="1"/>
  <c r="BV128"/>
  <c r="BW128" s="1"/>
  <c r="Z130"/>
  <c r="AI130" s="1"/>
  <c r="BS130"/>
  <c r="BT130" s="1"/>
  <c r="Z352"/>
  <c r="BI132"/>
  <c r="BI133"/>
  <c r="BI134"/>
  <c r="BI135"/>
  <c r="BI136"/>
  <c r="BI137"/>
  <c r="BI138"/>
  <c r="BJ138" s="1"/>
  <c r="BW139"/>
  <c r="BI140"/>
  <c r="BT140"/>
  <c r="Z364"/>
  <c r="BW143"/>
  <c r="BI144"/>
  <c r="BJ143" s="1"/>
  <c r="BT144"/>
  <c r="Z368"/>
  <c r="BW147"/>
  <c r="BX147" s="1"/>
  <c r="BI148"/>
  <c r="BT148"/>
  <c r="Z372"/>
  <c r="BW151"/>
  <c r="BX151" s="1"/>
  <c r="BI152"/>
  <c r="BT152"/>
  <c r="AA147"/>
  <c r="AB147" s="1"/>
  <c r="AH147"/>
  <c r="AI147" s="1"/>
  <c r="AJ147" s="1"/>
  <c r="BR157"/>
  <c r="BS157" s="1"/>
  <c r="BT156" s="1"/>
  <c r="AM172"/>
  <c r="Y173"/>
  <c r="BV121"/>
  <c r="BW121" s="1"/>
  <c r="BX121" s="1"/>
  <c r="BM121"/>
  <c r="BN121" s="1"/>
  <c r="BV132"/>
  <c r="BW132" s="1"/>
  <c r="BX131" s="1"/>
  <c r="BM132"/>
  <c r="BN132" s="1"/>
  <c r="BV133"/>
  <c r="BW133" s="1"/>
  <c r="BM133"/>
  <c r="BN133" s="1"/>
  <c r="BV134"/>
  <c r="BW134" s="1"/>
  <c r="BM134"/>
  <c r="BN134" s="1"/>
  <c r="BO134" s="1"/>
  <c r="BX133"/>
  <c r="BV135"/>
  <c r="BW135" s="1"/>
  <c r="BX134" s="1"/>
  <c r="BM135"/>
  <c r="BN135" s="1"/>
  <c r="BV136"/>
  <c r="BW136" s="1"/>
  <c r="BM136"/>
  <c r="BN136" s="1"/>
  <c r="BO136" s="1"/>
  <c r="BV137"/>
  <c r="BW137" s="1"/>
  <c r="BX136" s="1"/>
  <c r="BM137"/>
  <c r="BN137" s="1"/>
  <c r="BV138"/>
  <c r="BW138" s="1"/>
  <c r="BX138" s="1"/>
  <c r="BM138"/>
  <c r="BN138" s="1"/>
  <c r="BO138" s="1"/>
  <c r="BB139"/>
  <c r="BC139" s="1"/>
  <c r="BD138" s="1"/>
  <c r="Y140"/>
  <c r="AM139"/>
  <c r="BV140"/>
  <c r="BW140" s="1"/>
  <c r="BX139" s="1"/>
  <c r="BM140"/>
  <c r="BN140" s="1"/>
  <c r="BO140" s="1"/>
  <c r="BB143"/>
  <c r="BC143" s="1"/>
  <c r="BD142" s="1"/>
  <c r="AH144"/>
  <c r="AI144" s="1"/>
  <c r="AJ144" s="1"/>
  <c r="AE144"/>
  <c r="AF144" s="1"/>
  <c r="BV144"/>
  <c r="BW144" s="1"/>
  <c r="BM144"/>
  <c r="BN144" s="1"/>
  <c r="BO144" s="1"/>
  <c r="BB147"/>
  <c r="BC147" s="1"/>
  <c r="BD146" s="1"/>
  <c r="AH148"/>
  <c r="AI148" s="1"/>
  <c r="AJ148"/>
  <c r="AE148"/>
  <c r="AF148" s="1"/>
  <c r="BV148"/>
  <c r="BW148" s="1"/>
  <c r="BX148" s="1"/>
  <c r="BM148"/>
  <c r="BN148" s="1"/>
  <c r="BB151"/>
  <c r="BC151" s="1"/>
  <c r="BD151" s="1"/>
  <c r="AH152"/>
  <c r="AI152" s="1"/>
  <c r="AJ152" s="1"/>
  <c r="AE152"/>
  <c r="AF152" s="1"/>
  <c r="BV152"/>
  <c r="BW152" s="1"/>
  <c r="BX152" s="1"/>
  <c r="BM152"/>
  <c r="BN152" s="1"/>
  <c r="BO152" s="1"/>
  <c r="AE155"/>
  <c r="AF155" s="1"/>
  <c r="BH158"/>
  <c r="BI158" s="1"/>
  <c r="BJ157" s="1"/>
  <c r="AH163"/>
  <c r="AI163" s="1"/>
  <c r="AA163"/>
  <c r="AE163"/>
  <c r="AF163" s="1"/>
  <c r="AM164"/>
  <c r="Y165"/>
  <c r="AI180"/>
  <c r="AJ180" s="1"/>
  <c r="AE181"/>
  <c r="AF181" s="1"/>
  <c r="AH181"/>
  <c r="AI181" s="1"/>
  <c r="AA181"/>
  <c r="AB181" s="1"/>
  <c r="AC181" s="1"/>
  <c r="BJ123"/>
  <c r="AD123"/>
  <c r="AH124"/>
  <c r="AI124" s="1"/>
  <c r="BO126"/>
  <c r="Z349"/>
  <c r="BD133"/>
  <c r="BD135"/>
  <c r="BD137"/>
  <c r="BO33"/>
  <c r="BO37"/>
  <c r="BO41"/>
  <c r="BO45"/>
  <c r="Z272"/>
  <c r="Z273"/>
  <c r="BO54"/>
  <c r="BO58"/>
  <c r="BO62"/>
  <c r="BO66"/>
  <c r="BO70"/>
  <c r="BO74"/>
  <c r="BH75"/>
  <c r="BI75" s="1"/>
  <c r="BJ74" s="1"/>
  <c r="AR76"/>
  <c r="BM76"/>
  <c r="BN76" s="1"/>
  <c r="BO76" s="1"/>
  <c r="BV76"/>
  <c r="BW76" s="1"/>
  <c r="BX75" s="1"/>
  <c r="AA77"/>
  <c r="AB77" s="1"/>
  <c r="AW77"/>
  <c r="AX77" s="1"/>
  <c r="AY76" s="1"/>
  <c r="BR77"/>
  <c r="BS77" s="1"/>
  <c r="BT77" s="1"/>
  <c r="BB78"/>
  <c r="BC78" s="1"/>
  <c r="BD78" s="1"/>
  <c r="BO78"/>
  <c r="BH79"/>
  <c r="BI79" s="1"/>
  <c r="BJ78" s="1"/>
  <c r="AR80"/>
  <c r="BM80"/>
  <c r="BN80" s="1"/>
  <c r="BO80" s="1"/>
  <c r="BV80"/>
  <c r="BW80" s="1"/>
  <c r="AA81"/>
  <c r="AB81" s="1"/>
  <c r="AC81" s="1"/>
  <c r="AW81"/>
  <c r="AX81" s="1"/>
  <c r="AY80" s="1"/>
  <c r="BR81"/>
  <c r="BS81" s="1"/>
  <c r="BT80" s="1"/>
  <c r="BB82"/>
  <c r="BC82" s="1"/>
  <c r="BD81" s="1"/>
  <c r="BO82"/>
  <c r="BH83"/>
  <c r="BI83" s="1"/>
  <c r="BJ83" s="1"/>
  <c r="Z305"/>
  <c r="AR84"/>
  <c r="BM84"/>
  <c r="BN84" s="1"/>
  <c r="BO84" s="1"/>
  <c r="BV84"/>
  <c r="BW84" s="1"/>
  <c r="BX83" s="1"/>
  <c r="AA85"/>
  <c r="AB85" s="1"/>
  <c r="AW85"/>
  <c r="AX85" s="1"/>
  <c r="AY85" s="1"/>
  <c r="BR85"/>
  <c r="BS85" s="1"/>
  <c r="BT85" s="1"/>
  <c r="AJ110"/>
  <c r="BC110"/>
  <c r="BT110"/>
  <c r="BC111"/>
  <c r="BT111"/>
  <c r="BC112"/>
  <c r="AG113"/>
  <c r="BC113"/>
  <c r="BT113"/>
  <c r="BC114"/>
  <c r="BC115"/>
  <c r="BT115"/>
  <c r="BC116"/>
  <c r="BT116"/>
  <c r="AG117"/>
  <c r="BC117"/>
  <c r="BT117"/>
  <c r="BC118"/>
  <c r="BD118" s="1"/>
  <c r="AG119"/>
  <c r="AY118"/>
  <c r="AD119"/>
  <c r="AH120"/>
  <c r="AI120" s="1"/>
  <c r="AJ120" s="1"/>
  <c r="BV120"/>
  <c r="BW120" s="1"/>
  <c r="BJ120"/>
  <c r="BT121"/>
  <c r="BD121"/>
  <c r="BO122"/>
  <c r="AM123"/>
  <c r="BD123"/>
  <c r="BR123"/>
  <c r="BS123" s="1"/>
  <c r="BT123" s="1"/>
  <c r="Z345"/>
  <c r="AA124"/>
  <c r="AB124" s="1"/>
  <c r="BT124"/>
  <c r="AM124"/>
  <c r="AA125"/>
  <c r="AY125"/>
  <c r="AM126"/>
  <c r="BJ126"/>
  <c r="AW127"/>
  <c r="AE128"/>
  <c r="AF128" s="1"/>
  <c r="AY128"/>
  <c r="BM128"/>
  <c r="BN128" s="1"/>
  <c r="BO128" s="1"/>
  <c r="BJ128"/>
  <c r="BJ129"/>
  <c r="BT129"/>
  <c r="AX130"/>
  <c r="AY129" s="1"/>
  <c r="BX130"/>
  <c r="BH131"/>
  <c r="BI131" s="1"/>
  <c r="BJ130" s="1"/>
  <c r="AY132"/>
  <c r="Z354"/>
  <c r="Z133"/>
  <c r="AY133"/>
  <c r="Z134"/>
  <c r="AY134"/>
  <c r="Z356"/>
  <c r="Z135"/>
  <c r="AY135"/>
  <c r="Z357"/>
  <c r="Z136"/>
  <c r="AY136"/>
  <c r="Z137"/>
  <c r="AY137"/>
  <c r="Z138"/>
  <c r="AY138"/>
  <c r="Z360"/>
  <c r="BJ139"/>
  <c r="AM140"/>
  <c r="Z362"/>
  <c r="BJ141"/>
  <c r="AM144"/>
  <c r="BJ145"/>
  <c r="AE147"/>
  <c r="AF147" s="1"/>
  <c r="AG147" s="1"/>
  <c r="BJ147"/>
  <c r="AM148"/>
  <c r="Z370"/>
  <c r="BJ149"/>
  <c r="BJ151"/>
  <c r="AM152"/>
  <c r="BJ153"/>
  <c r="AH155"/>
  <c r="AI155" s="1"/>
  <c r="AK379"/>
  <c r="Z380"/>
  <c r="BM159"/>
  <c r="BN159" s="1"/>
  <c r="BO159" s="1"/>
  <c r="BD160"/>
  <c r="Z392"/>
  <c r="BV125"/>
  <c r="BW125" s="1"/>
  <c r="BX125" s="1"/>
  <c r="BM125"/>
  <c r="BN125" s="1"/>
  <c r="BO125" s="1"/>
  <c r="AA143"/>
  <c r="AB143" s="1"/>
  <c r="AH143"/>
  <c r="AI143" s="1"/>
  <c r="AJ143" s="1"/>
  <c r="AA151"/>
  <c r="AB151" s="1"/>
  <c r="AH151"/>
  <c r="AI151" s="1"/>
  <c r="AJ151" s="1"/>
  <c r="AH169"/>
  <c r="AI169" s="1"/>
  <c r="AA169"/>
  <c r="AE126"/>
  <c r="AF126" s="1"/>
  <c r="AG126" s="1"/>
  <c r="AA126"/>
  <c r="AB126" s="1"/>
  <c r="AC126" s="1"/>
  <c r="AJ125"/>
  <c r="AH131"/>
  <c r="AI131" s="1"/>
  <c r="Y142"/>
  <c r="AM141"/>
  <c r="Y146"/>
  <c r="AM145"/>
  <c r="Y150"/>
  <c r="AM149"/>
  <c r="Y154"/>
  <c r="AM153"/>
  <c r="AH156"/>
  <c r="AI156" s="1"/>
  <c r="AJ155" s="1"/>
  <c r="AA156"/>
  <c r="AB156" s="1"/>
  <c r="AC155"/>
  <c r="AA158"/>
  <c r="AB158" s="1"/>
  <c r="AE158"/>
  <c r="AF158" s="1"/>
  <c r="AG158" s="1"/>
  <c r="AH159"/>
  <c r="AI159" s="1"/>
  <c r="AA159"/>
  <c r="AB159" s="1"/>
  <c r="BH159"/>
  <c r="BI159" s="1"/>
  <c r="BJ159" s="1"/>
  <c r="Y160"/>
  <c r="AM159"/>
  <c r="AM161"/>
  <c r="Y161"/>
  <c r="Z168"/>
  <c r="AB168" s="1"/>
  <c r="AM168"/>
  <c r="BH168"/>
  <c r="BI168" s="1"/>
  <c r="BR171"/>
  <c r="BS171" s="1"/>
  <c r="AY122"/>
  <c r="BV124"/>
  <c r="BW124" s="1"/>
  <c r="BX123" s="1"/>
  <c r="BT125"/>
  <c r="BD128"/>
  <c r="BX129"/>
  <c r="AF131"/>
  <c r="Z353"/>
  <c r="BD132"/>
  <c r="BD134"/>
  <c r="BD136"/>
  <c r="AG143"/>
  <c r="AG151"/>
  <c r="BO29"/>
  <c r="BO50"/>
  <c r="Z274"/>
  <c r="AK281"/>
  <c r="BO75"/>
  <c r="BO79"/>
  <c r="BO83"/>
  <c r="AA111"/>
  <c r="AB111" s="1"/>
  <c r="AC110" s="1"/>
  <c r="AY111"/>
  <c r="AA112"/>
  <c r="AB112" s="1"/>
  <c r="AA113"/>
  <c r="AB113" s="1"/>
  <c r="AC113" s="1"/>
  <c r="AA114"/>
  <c r="AB114" s="1"/>
  <c r="AY114"/>
  <c r="AA115"/>
  <c r="AB115" s="1"/>
  <c r="AY115"/>
  <c r="AA116"/>
  <c r="AB116" s="1"/>
  <c r="AY116"/>
  <c r="AA117"/>
  <c r="AB117" s="1"/>
  <c r="AC117" s="1"/>
  <c r="AY117"/>
  <c r="AA118"/>
  <c r="AB118" s="1"/>
  <c r="AA119"/>
  <c r="AB119" s="1"/>
  <c r="AM119"/>
  <c r="AY119"/>
  <c r="BD119"/>
  <c r="Z341"/>
  <c r="AA120"/>
  <c r="AB120" s="1"/>
  <c r="AC120" s="1"/>
  <c r="AT119"/>
  <c r="BO120"/>
  <c r="AM120"/>
  <c r="BJ121"/>
  <c r="BO121"/>
  <c r="BD122"/>
  <c r="BJ122"/>
  <c r="AW123"/>
  <c r="AE124"/>
  <c r="AF124" s="1"/>
  <c r="AJ124"/>
  <c r="BM124"/>
  <c r="BN124" s="1"/>
  <c r="BO123" s="1"/>
  <c r="Z346"/>
  <c r="AB125"/>
  <c r="AE125"/>
  <c r="AF125" s="1"/>
  <c r="AG125" s="1"/>
  <c r="AM125"/>
  <c r="BH125"/>
  <c r="BB126"/>
  <c r="BC126" s="1"/>
  <c r="AX127"/>
  <c r="AY127" s="1"/>
  <c r="BT126"/>
  <c r="AR128"/>
  <c r="BX128"/>
  <c r="Y129"/>
  <c r="AM129"/>
  <c r="BD129"/>
  <c r="AA130"/>
  <c r="AX131"/>
  <c r="AY131" s="1"/>
  <c r="BJ132"/>
  <c r="BJ134"/>
  <c r="BJ135"/>
  <c r="BJ136"/>
  <c r="BS139"/>
  <c r="BT139" s="1"/>
  <c r="Z361"/>
  <c r="BJ140"/>
  <c r="BT141"/>
  <c r="AM142"/>
  <c r="AM143"/>
  <c r="BD143"/>
  <c r="BS143"/>
  <c r="BT143" s="1"/>
  <c r="Z365"/>
  <c r="AA144"/>
  <c r="AB144" s="1"/>
  <c r="BJ144"/>
  <c r="BT145"/>
  <c r="AM146"/>
  <c r="AM147"/>
  <c r="BD147"/>
  <c r="BS147"/>
  <c r="BT147" s="1"/>
  <c r="Z369"/>
  <c r="AA148"/>
  <c r="AB148" s="1"/>
  <c r="BJ148"/>
  <c r="BT149"/>
  <c r="AM150"/>
  <c r="AM151"/>
  <c r="BS151"/>
  <c r="BT151" s="1"/>
  <c r="Z373"/>
  <c r="AA152"/>
  <c r="AB152" s="1"/>
  <c r="BJ152"/>
  <c r="BT153"/>
  <c r="AG155"/>
  <c r="AH158"/>
  <c r="AI158" s="1"/>
  <c r="AJ158" s="1"/>
  <c r="BJ158"/>
  <c r="AE169"/>
  <c r="AF169" s="1"/>
  <c r="AB195"/>
  <c r="AB202"/>
  <c r="AH183"/>
  <c r="AI183" s="1"/>
  <c r="AA183"/>
  <c r="AH186"/>
  <c r="AI186" s="1"/>
  <c r="BM190"/>
  <c r="BN190" s="1"/>
  <c r="AM196"/>
  <c r="Y196"/>
  <c r="AM195"/>
  <c r="BM197"/>
  <c r="BN197" s="1"/>
  <c r="BO196"/>
  <c r="AA201"/>
  <c r="AH201"/>
  <c r="AI201" s="1"/>
  <c r="AJ201" s="1"/>
  <c r="BR209"/>
  <c r="BS209" s="1"/>
  <c r="BR211"/>
  <c r="BS211" s="1"/>
  <c r="BT211" s="1"/>
  <c r="AK213"/>
  <c r="AM213"/>
  <c r="AK214"/>
  <c r="Y214"/>
  <c r="AK215"/>
  <c r="Y216"/>
  <c r="AK216"/>
  <c r="Y217"/>
  <c r="AM216"/>
  <c r="BM219"/>
  <c r="BN219" s="1"/>
  <c r="BO218" s="1"/>
  <c r="BO219"/>
  <c r="AE220"/>
  <c r="AF220" s="1"/>
  <c r="AG220" s="1"/>
  <c r="AH220"/>
  <c r="AI220" s="1"/>
  <c r="BR225"/>
  <c r="BS225" s="1"/>
  <c r="BT225" s="1"/>
  <c r="BR227"/>
  <c r="BS227" s="1"/>
  <c r="BT227" s="1"/>
  <c r="AK229"/>
  <c r="AM229"/>
  <c r="Y230"/>
  <c r="Y231"/>
  <c r="AK231"/>
  <c r="AM236"/>
  <c r="Y236"/>
  <c r="AM235"/>
  <c r="AM244"/>
  <c r="AK243"/>
  <c r="Y244"/>
  <c r="AM243"/>
  <c r="AM266"/>
  <c r="Y266"/>
  <c r="AK266"/>
  <c r="AM265"/>
  <c r="AB164"/>
  <c r="Z388"/>
  <c r="AE171"/>
  <c r="AF171" s="1"/>
  <c r="AB172"/>
  <c r="Z396"/>
  <c r="AB175"/>
  <c r="AC175" s="1"/>
  <c r="BH176"/>
  <c r="BI176" s="1"/>
  <c r="BJ176" s="1"/>
  <c r="AA177"/>
  <c r="AB177" s="1"/>
  <c r="AC176" s="1"/>
  <c r="AE179"/>
  <c r="AF179" s="1"/>
  <c r="Z401"/>
  <c r="BT180"/>
  <c r="AI182"/>
  <c r="AJ182" s="1"/>
  <c r="BT182"/>
  <c r="AM184"/>
  <c r="BO184"/>
  <c r="BO185"/>
  <c r="AE186"/>
  <c r="AF186" s="1"/>
  <c r="BR189"/>
  <c r="BS189" s="1"/>
  <c r="BT189" s="1"/>
  <c r="Z412"/>
  <c r="BO191"/>
  <c r="Z193"/>
  <c r="BR193"/>
  <c r="BS193" s="1"/>
  <c r="BT192" s="1"/>
  <c r="AM194"/>
  <c r="Z416"/>
  <c r="AM197"/>
  <c r="AM198"/>
  <c r="Z425"/>
  <c r="Z428"/>
  <c r="AK443"/>
  <c r="BT229"/>
  <c r="BO230"/>
  <c r="BT264"/>
  <c r="Z488"/>
  <c r="AA133"/>
  <c r="AA134"/>
  <c r="AA135"/>
  <c r="AA136"/>
  <c r="AA137"/>
  <c r="AA138"/>
  <c r="AA139"/>
  <c r="AB139" s="1"/>
  <c r="AA141"/>
  <c r="AB141" s="1"/>
  <c r="BV142"/>
  <c r="BW142" s="1"/>
  <c r="BX142" s="1"/>
  <c r="BM142"/>
  <c r="BN142" s="1"/>
  <c r="BO142" s="1"/>
  <c r="AA145"/>
  <c r="AB145" s="1"/>
  <c r="BV146"/>
  <c r="BW146" s="1"/>
  <c r="BM146"/>
  <c r="BN146" s="1"/>
  <c r="AA149"/>
  <c r="AB149" s="1"/>
  <c r="BV150"/>
  <c r="BW150" s="1"/>
  <c r="BX150" s="1"/>
  <c r="BM150"/>
  <c r="BN150" s="1"/>
  <c r="AA153"/>
  <c r="AB153" s="1"/>
  <c r="BM154"/>
  <c r="BN154" s="1"/>
  <c r="BO154" s="1"/>
  <c r="BB155"/>
  <c r="BC155" s="1"/>
  <c r="BD155" s="1"/>
  <c r="BR155"/>
  <c r="BS155" s="1"/>
  <c r="BT155" s="1"/>
  <c r="AM157"/>
  <c r="Y157"/>
  <c r="BR161"/>
  <c r="BS161" s="1"/>
  <c r="BT161" s="1"/>
  <c r="BH162"/>
  <c r="BI162" s="1"/>
  <c r="BM163"/>
  <c r="BN163" s="1"/>
  <c r="BO163" s="1"/>
  <c r="AE168"/>
  <c r="AF168" s="1"/>
  <c r="AG167" s="1"/>
  <c r="AH168"/>
  <c r="AI168" s="1"/>
  <c r="AJ168" s="1"/>
  <c r="AM169"/>
  <c r="Y170"/>
  <c r="BR170"/>
  <c r="BS170" s="1"/>
  <c r="BT169" s="1"/>
  <c r="BM171"/>
  <c r="BN171" s="1"/>
  <c r="BO170"/>
  <c r="AE176"/>
  <c r="AF176" s="1"/>
  <c r="AG175" s="1"/>
  <c r="AH176"/>
  <c r="AI176" s="1"/>
  <c r="AJ176" s="1"/>
  <c r="AM177"/>
  <c r="Y178"/>
  <c r="BR178"/>
  <c r="BS178" s="1"/>
  <c r="BT178" s="1"/>
  <c r="AM179"/>
  <c r="AM178"/>
  <c r="BM181"/>
  <c r="BN181" s="1"/>
  <c r="BO181" s="1"/>
  <c r="AM187"/>
  <c r="Y187"/>
  <c r="AM186"/>
  <c r="BM188"/>
  <c r="BN188" s="1"/>
  <c r="BO188" s="1"/>
  <c r="BM189"/>
  <c r="BN189" s="1"/>
  <c r="AA193"/>
  <c r="AH193"/>
  <c r="AI193" s="1"/>
  <c r="BR196"/>
  <c r="BS196" s="1"/>
  <c r="BT195" s="1"/>
  <c r="AH207"/>
  <c r="AI207" s="1"/>
  <c r="AA207"/>
  <c r="AB207" s="1"/>
  <c r="BR208"/>
  <c r="BS208" s="1"/>
  <c r="BT208" s="1"/>
  <c r="AE210"/>
  <c r="AF210" s="1"/>
  <c r="AA210"/>
  <c r="AH210"/>
  <c r="AI210" s="1"/>
  <c r="Y211"/>
  <c r="AM210"/>
  <c r="AM211"/>
  <c r="AH213"/>
  <c r="AI213" s="1"/>
  <c r="AA213"/>
  <c r="AB213" s="1"/>
  <c r="BR214"/>
  <c r="BS214" s="1"/>
  <c r="BT214" s="1"/>
  <c r="BM217"/>
  <c r="BN217" s="1"/>
  <c r="BO217" s="1"/>
  <c r="AH223"/>
  <c r="AI223" s="1"/>
  <c r="AA223"/>
  <c r="AB223" s="1"/>
  <c r="BR224"/>
  <c r="BS224" s="1"/>
  <c r="BT223" s="1"/>
  <c r="AE226"/>
  <c r="AF226" s="1"/>
  <c r="AA226"/>
  <c r="AH226"/>
  <c r="AI226" s="1"/>
  <c r="Y227"/>
  <c r="AM226"/>
  <c r="AM227"/>
  <c r="AH229"/>
  <c r="AI229" s="1"/>
  <c r="AA229"/>
  <c r="BR231"/>
  <c r="BS231" s="1"/>
  <c r="BT231" s="1"/>
  <c r="Y239"/>
  <c r="AM238"/>
  <c r="AK239"/>
  <c r="BM248"/>
  <c r="BN248" s="1"/>
  <c r="BO247" s="1"/>
  <c r="BO248"/>
  <c r="Z268"/>
  <c r="AM268"/>
  <c r="Z332"/>
  <c r="Z333"/>
  <c r="AM334"/>
  <c r="Z336"/>
  <c r="Z337"/>
  <c r="Z338"/>
  <c r="Z340"/>
  <c r="Z344"/>
  <c r="Z348"/>
  <c r="AE133"/>
  <c r="AF133" s="1"/>
  <c r="AE134"/>
  <c r="AF134" s="1"/>
  <c r="AE135"/>
  <c r="AF135" s="1"/>
  <c r="AE136"/>
  <c r="AF136" s="1"/>
  <c r="AE137"/>
  <c r="AF137" s="1"/>
  <c r="AE138"/>
  <c r="AF138" s="1"/>
  <c r="AE139"/>
  <c r="AF139" s="1"/>
  <c r="AE141"/>
  <c r="AF141" s="1"/>
  <c r="AE145"/>
  <c r="AF145" s="1"/>
  <c r="AE149"/>
  <c r="AF149" s="1"/>
  <c r="AE153"/>
  <c r="AF153" s="1"/>
  <c r="BV154"/>
  <c r="BW154" s="1"/>
  <c r="BX154" s="1"/>
  <c r="BI156"/>
  <c r="BJ156" s="1"/>
  <c r="BD156"/>
  <c r="BN157"/>
  <c r="Z384"/>
  <c r="AB163"/>
  <c r="BS164"/>
  <c r="BT164" s="1"/>
  <c r="BT167"/>
  <c r="BI169"/>
  <c r="BJ169" s="1"/>
  <c r="AM170"/>
  <c r="BS172"/>
  <c r="BT172" s="1"/>
  <c r="BI175"/>
  <c r="BJ174" s="1"/>
  <c r="BT175"/>
  <c r="AH177"/>
  <c r="AI177" s="1"/>
  <c r="BI177"/>
  <c r="BJ177" s="1"/>
  <c r="AA179"/>
  <c r="AB179" s="1"/>
  <c r="AK403"/>
  <c r="AE183"/>
  <c r="AF183" s="1"/>
  <c r="BO182"/>
  <c r="Z405"/>
  <c r="BR184"/>
  <c r="BS184" s="1"/>
  <c r="BT183" s="1"/>
  <c r="AM185"/>
  <c r="AM406"/>
  <c r="BT185"/>
  <c r="AM188"/>
  <c r="AM189"/>
  <c r="AM190"/>
  <c r="BO190"/>
  <c r="Z191"/>
  <c r="BO192"/>
  <c r="BS194"/>
  <c r="BT194" s="1"/>
  <c r="BN195"/>
  <c r="Z417"/>
  <c r="AA198"/>
  <c r="AB198" s="1"/>
  <c r="BT198"/>
  <c r="Z421"/>
  <c r="AE201"/>
  <c r="AF201" s="1"/>
  <c r="AG201" s="1"/>
  <c r="AK210"/>
  <c r="BS218"/>
  <c r="AK226"/>
  <c r="AM230"/>
  <c r="BN235"/>
  <c r="BO234" s="1"/>
  <c r="AK236"/>
  <c r="AM241"/>
  <c r="BN243"/>
  <c r="AK244"/>
  <c r="BM180"/>
  <c r="BN180" s="1"/>
  <c r="BO179"/>
  <c r="AA184"/>
  <c r="AB184" s="1"/>
  <c r="AH184"/>
  <c r="AI184" s="1"/>
  <c r="BR187"/>
  <c r="BS187" s="1"/>
  <c r="BT186" s="1"/>
  <c r="AE194"/>
  <c r="AF194" s="1"/>
  <c r="AA194"/>
  <c r="AB194" s="1"/>
  <c r="AC194" s="1"/>
  <c r="AE198"/>
  <c r="AF198" s="1"/>
  <c r="AG198" s="1"/>
  <c r="AJ197"/>
  <c r="AJ198"/>
  <c r="AH200"/>
  <c r="AI200" s="1"/>
  <c r="AJ200" s="1"/>
  <c r="AA200"/>
  <c r="AB200" s="1"/>
  <c r="AH203"/>
  <c r="AI203" s="1"/>
  <c r="AJ202" s="1"/>
  <c r="AK205"/>
  <c r="AM205"/>
  <c r="AK206"/>
  <c r="Y206"/>
  <c r="AK207"/>
  <c r="Y208"/>
  <c r="AK208"/>
  <c r="Y209"/>
  <c r="AM208"/>
  <c r="BM211"/>
  <c r="BN211" s="1"/>
  <c r="BO210"/>
  <c r="BO211"/>
  <c r="AE212"/>
  <c r="AF212" s="1"/>
  <c r="AH212"/>
  <c r="AI212" s="1"/>
  <c r="AJ212" s="1"/>
  <c r="BR217"/>
  <c r="BS217" s="1"/>
  <c r="BR219"/>
  <c r="BS219" s="1"/>
  <c r="BT219" s="1"/>
  <c r="AK221"/>
  <c r="AM221"/>
  <c r="AK222"/>
  <c r="Y222"/>
  <c r="AK223"/>
  <c r="Y224"/>
  <c r="AK224"/>
  <c r="Y225"/>
  <c r="AM224"/>
  <c r="BM227"/>
  <c r="BN227" s="1"/>
  <c r="BO226"/>
  <c r="BO227"/>
  <c r="AE228"/>
  <c r="AF228" s="1"/>
  <c r="AH228"/>
  <c r="AI228" s="1"/>
  <c r="BM233"/>
  <c r="BN233" s="1"/>
  <c r="BO233" s="1"/>
  <c r="Y261"/>
  <c r="AK260"/>
  <c r="AK261"/>
  <c r="AM260"/>
  <c r="Y273"/>
  <c r="AK272"/>
  <c r="AM272"/>
  <c r="Y274"/>
  <c r="AE177"/>
  <c r="AF177" s="1"/>
  <c r="Z400"/>
  <c r="AI179"/>
  <c r="AJ179" s="1"/>
  <c r="BO178"/>
  <c r="AM180"/>
  <c r="AM181"/>
  <c r="Z408"/>
  <c r="BT187"/>
  <c r="BT190"/>
  <c r="Z413"/>
  <c r="AF193"/>
  <c r="AG193" s="1"/>
  <c r="AH194"/>
  <c r="AI194" s="1"/>
  <c r="Z418"/>
  <c r="BO202"/>
  <c r="AE203"/>
  <c r="AF203" s="1"/>
  <c r="AG202" s="1"/>
  <c r="BT204"/>
  <c r="AB210"/>
  <c r="AM435"/>
  <c r="AB226"/>
  <c r="AM231"/>
  <c r="Z453"/>
  <c r="AE164"/>
  <c r="AF164" s="1"/>
  <c r="AG163"/>
  <c r="AH164"/>
  <c r="AI164" s="1"/>
  <c r="AJ163" s="1"/>
  <c r="AM165"/>
  <c r="Y166"/>
  <c r="BR166"/>
  <c r="BS166" s="1"/>
  <c r="BT166" s="1"/>
  <c r="BM167"/>
  <c r="BN167" s="1"/>
  <c r="BO167" s="1"/>
  <c r="AE172"/>
  <c r="AF172" s="1"/>
  <c r="AH172"/>
  <c r="AI172" s="1"/>
  <c r="AJ171" s="1"/>
  <c r="AC171"/>
  <c r="AM173"/>
  <c r="Y174"/>
  <c r="BR174"/>
  <c r="BS174" s="1"/>
  <c r="BT174" s="1"/>
  <c r="BT173"/>
  <c r="BM175"/>
  <c r="BN175" s="1"/>
  <c r="BO174" s="1"/>
  <c r="AE185"/>
  <c r="AF185" s="1"/>
  <c r="AG185" s="1"/>
  <c r="AA185"/>
  <c r="AB185" s="1"/>
  <c r="AC185" s="1"/>
  <c r="AE189"/>
  <c r="AF189" s="1"/>
  <c r="AE190"/>
  <c r="AF190" s="1"/>
  <c r="AC189"/>
  <c r="AH192"/>
  <c r="AI192" s="1"/>
  <c r="AJ192" s="1"/>
  <c r="AA192"/>
  <c r="AB192" s="1"/>
  <c r="AH195"/>
  <c r="AI195" s="1"/>
  <c r="BM198"/>
  <c r="BN198" s="1"/>
  <c r="BO198" s="1"/>
  <c r="BO197"/>
  <c r="AM204"/>
  <c r="Y204"/>
  <c r="AM203"/>
  <c r="BR206"/>
  <c r="BS206" s="1"/>
  <c r="BT206" s="1"/>
  <c r="BT205"/>
  <c r="BM209"/>
  <c r="BN209" s="1"/>
  <c r="BO209" s="1"/>
  <c r="AH215"/>
  <c r="AI215" s="1"/>
  <c r="AA215"/>
  <c r="AB215" s="1"/>
  <c r="BR216"/>
  <c r="BS216" s="1"/>
  <c r="BT216" s="1"/>
  <c r="AE218"/>
  <c r="AF218" s="1"/>
  <c r="AA218"/>
  <c r="AB218" s="1"/>
  <c r="AH218"/>
  <c r="AI218" s="1"/>
  <c r="Y219"/>
  <c r="AM218"/>
  <c r="AM219"/>
  <c r="AH221"/>
  <c r="AI221" s="1"/>
  <c r="AJ220" s="1"/>
  <c r="AA221"/>
  <c r="BR222"/>
  <c r="BS222" s="1"/>
  <c r="BT222" s="1"/>
  <c r="BM225"/>
  <c r="BN225" s="1"/>
  <c r="BO224" s="1"/>
  <c r="BR233"/>
  <c r="BS233" s="1"/>
  <c r="BT233" s="1"/>
  <c r="AM258"/>
  <c r="Y258"/>
  <c r="AK258"/>
  <c r="AM257"/>
  <c r="BR279"/>
  <c r="BS279" s="1"/>
  <c r="BT279" s="1"/>
  <c r="BC162"/>
  <c r="BI163"/>
  <c r="BJ163" s="1"/>
  <c r="BI165"/>
  <c r="BJ164" s="1"/>
  <c r="AM166"/>
  <c r="BI171"/>
  <c r="BI173"/>
  <c r="BJ173" s="1"/>
  <c r="AM174"/>
  <c r="AM176"/>
  <c r="BT179"/>
  <c r="AF182"/>
  <c r="AG182" s="1"/>
  <c r="BT181"/>
  <c r="Z404"/>
  <c r="AB183"/>
  <c r="AE184"/>
  <c r="AF184" s="1"/>
  <c r="AG184" s="1"/>
  <c r="AH185"/>
  <c r="AI185" s="1"/>
  <c r="AJ184" s="1"/>
  <c r="BN187"/>
  <c r="BO186" s="1"/>
  <c r="Z409"/>
  <c r="BT188"/>
  <c r="AH189"/>
  <c r="AI189" s="1"/>
  <c r="AJ188" s="1"/>
  <c r="AI191"/>
  <c r="AJ191" s="1"/>
  <c r="BT191"/>
  <c r="BO194"/>
  <c r="AE195"/>
  <c r="AF195" s="1"/>
  <c r="AG194" s="1"/>
  <c r="Z420"/>
  <c r="AE200"/>
  <c r="AF200" s="1"/>
  <c r="AG200" s="1"/>
  <c r="BO199"/>
  <c r="AK421"/>
  <c r="AB201"/>
  <c r="AC201" s="1"/>
  <c r="AC202"/>
  <c r="AM202"/>
  <c r="Z424"/>
  <c r="BT202"/>
  <c r="BO203"/>
  <c r="BS210"/>
  <c r="AB212"/>
  <c r="AG212"/>
  <c r="BT217"/>
  <c r="AK218"/>
  <c r="AA220"/>
  <c r="AB220" s="1"/>
  <c r="AK446"/>
  <c r="AB228"/>
  <c r="AG228"/>
  <c r="BN232"/>
  <c r="BS238"/>
  <c r="BT237" s="1"/>
  <c r="BT256"/>
  <c r="Z480"/>
  <c r="BM213"/>
  <c r="BN213" s="1"/>
  <c r="BO212" s="1"/>
  <c r="BM221"/>
  <c r="BN221" s="1"/>
  <c r="BO220"/>
  <c r="BM229"/>
  <c r="BN229" s="1"/>
  <c r="BO228" s="1"/>
  <c r="AM254"/>
  <c r="AK253"/>
  <c r="BR259"/>
  <c r="BS259" s="1"/>
  <c r="BT259" s="1"/>
  <c r="BR267"/>
  <c r="BS267" s="1"/>
  <c r="BT267"/>
  <c r="BR270"/>
  <c r="BS270" s="1"/>
  <c r="BT270" s="1"/>
  <c r="BR281"/>
  <c r="BS281" s="1"/>
  <c r="BT280" s="1"/>
  <c r="Z426"/>
  <c r="AK209"/>
  <c r="AK217"/>
  <c r="AK225"/>
  <c r="AK452"/>
  <c r="AK453"/>
  <c r="AK233"/>
  <c r="AM234"/>
  <c r="Z457"/>
  <c r="Y238"/>
  <c r="BR241"/>
  <c r="BS241" s="1"/>
  <c r="BT240" s="1"/>
  <c r="AK241"/>
  <c r="AM242"/>
  <c r="BT242"/>
  <c r="Z465"/>
  <c r="Y246"/>
  <c r="BO246"/>
  <c r="AK254"/>
  <c r="BS254"/>
  <c r="BT254" s="1"/>
  <c r="BO257"/>
  <c r="BO265"/>
  <c r="AK280"/>
  <c r="BM165"/>
  <c r="BN165" s="1"/>
  <c r="BO165" s="1"/>
  <c r="BM169"/>
  <c r="BN169" s="1"/>
  <c r="BO169" s="1"/>
  <c r="BO168"/>
  <c r="BM173"/>
  <c r="BN173" s="1"/>
  <c r="BO173" s="1"/>
  <c r="BM177"/>
  <c r="BN177" s="1"/>
  <c r="BO177" s="1"/>
  <c r="BO176"/>
  <c r="AA180"/>
  <c r="AB180" s="1"/>
  <c r="AA188"/>
  <c r="AB188" s="1"/>
  <c r="AC188" s="1"/>
  <c r="AA197"/>
  <c r="AB197" s="1"/>
  <c r="AC197" s="1"/>
  <c r="AA205"/>
  <c r="AB205" s="1"/>
  <c r="BM207"/>
  <c r="BN207" s="1"/>
  <c r="BO207" s="1"/>
  <c r="BM215"/>
  <c r="BN215" s="1"/>
  <c r="BO215" s="1"/>
  <c r="BM223"/>
  <c r="BN223" s="1"/>
  <c r="BO223" s="1"/>
  <c r="Y253"/>
  <c r="AM252"/>
  <c r="Y257"/>
  <c r="AK256"/>
  <c r="AM262"/>
  <c r="Y262"/>
  <c r="AK262"/>
  <c r="AM261"/>
  <c r="Y265"/>
  <c r="AK264"/>
  <c r="Z377"/>
  <c r="BJ155"/>
  <c r="BC159"/>
  <c r="BD159" s="1"/>
  <c r="Z381"/>
  <c r="BT159"/>
  <c r="BC163"/>
  <c r="AM163"/>
  <c r="Z386"/>
  <c r="AM167"/>
  <c r="AB169"/>
  <c r="AM171"/>
  <c r="Z394"/>
  <c r="AM175"/>
  <c r="AE180"/>
  <c r="AF180" s="1"/>
  <c r="AG179" s="1"/>
  <c r="AM183"/>
  <c r="AE188"/>
  <c r="AF188" s="1"/>
  <c r="AG188" s="1"/>
  <c r="AM192"/>
  <c r="AE197"/>
  <c r="AF197" s="1"/>
  <c r="AG197" s="1"/>
  <c r="AM200"/>
  <c r="BT203"/>
  <c r="BO204"/>
  <c r="AE205"/>
  <c r="AF205" s="1"/>
  <c r="BO205"/>
  <c r="AK211"/>
  <c r="BO213"/>
  <c r="AK219"/>
  <c r="AB221"/>
  <c r="BO221"/>
  <c r="AK227"/>
  <c r="AB229"/>
  <c r="BO229"/>
  <c r="AM232"/>
  <c r="AK232"/>
  <c r="AK234"/>
  <c r="AM237"/>
  <c r="AM240"/>
  <c r="AK240"/>
  <c r="AK242"/>
  <c r="BO245"/>
  <c r="BN251"/>
  <c r="BO251" s="1"/>
  <c r="AM259"/>
  <c r="BT260"/>
  <c r="Z484"/>
  <c r="AM267"/>
  <c r="AM246"/>
  <c r="AK245"/>
  <c r="Y249"/>
  <c r="AM248"/>
  <c r="AM250"/>
  <c r="AK249"/>
  <c r="BR255"/>
  <c r="BS255" s="1"/>
  <c r="BT255" s="1"/>
  <c r="BR263"/>
  <c r="BS263" s="1"/>
  <c r="BT263" s="1"/>
  <c r="BR275"/>
  <c r="BS275" s="1"/>
  <c r="BT275" s="1"/>
  <c r="BR278"/>
  <c r="BS278" s="1"/>
  <c r="BS235"/>
  <c r="BT234" s="1"/>
  <c r="Z461"/>
  <c r="BN240"/>
  <c r="BO239" s="1"/>
  <c r="BS243"/>
  <c r="BT243" s="1"/>
  <c r="AM465"/>
  <c r="AK250"/>
  <c r="BO261"/>
  <c r="BO272"/>
  <c r="AK313"/>
  <c r="Y309"/>
  <c r="Y481"/>
  <c r="AM480"/>
  <c r="Y489"/>
  <c r="Y497"/>
  <c r="Y505"/>
  <c r="Y513"/>
  <c r="Y521"/>
  <c r="Y529"/>
  <c r="Y537"/>
  <c r="Y545"/>
  <c r="Y553"/>
  <c r="Y561"/>
  <c r="Y569"/>
  <c r="Y577"/>
  <c r="Y585"/>
  <c r="Y593"/>
  <c r="Y601"/>
  <c r="Y609"/>
  <c r="Y617"/>
  <c r="Y625"/>
  <c r="Y633"/>
  <c r="Y641"/>
  <c r="Y649"/>
  <c r="AK292"/>
  <c r="AK298"/>
  <c r="AK300"/>
  <c r="Z529"/>
  <c r="AK354"/>
  <c r="AK371"/>
  <c r="AK420"/>
  <c r="BM271"/>
  <c r="BN271" s="1"/>
  <c r="BO271" s="1"/>
  <c r="AK247"/>
  <c r="Z471"/>
  <c r="BN250"/>
  <c r="BO250" s="1"/>
  <c r="BT251"/>
  <c r="Z474"/>
  <c r="BS253"/>
  <c r="BN270"/>
  <c r="Z492"/>
  <c r="AK271"/>
  <c r="Z495"/>
  <c r="BN278"/>
  <c r="Z538"/>
  <c r="Y269"/>
  <c r="AK268"/>
  <c r="Y270"/>
  <c r="BR274"/>
  <c r="BS274" s="1"/>
  <c r="BT273" s="1"/>
  <c r="Y277"/>
  <c r="AK276"/>
  <c r="Y278"/>
  <c r="BM279"/>
  <c r="BN279" s="1"/>
  <c r="BO278"/>
  <c r="Y305"/>
  <c r="AM313"/>
  <c r="Y313"/>
  <c r="Y318"/>
  <c r="AM317"/>
  <c r="BT268"/>
  <c r="BT276"/>
  <c r="BT283"/>
  <c r="AK285"/>
  <c r="BT285"/>
  <c r="BT287"/>
  <c r="BT289"/>
  <c r="BT291"/>
  <c r="BT293"/>
  <c r="BT295"/>
  <c r="BT297"/>
  <c r="AK299"/>
  <c r="BT299"/>
  <c r="AK301"/>
  <c r="BT301"/>
  <c r="Z525"/>
  <c r="Z533"/>
  <c r="AK338"/>
  <c r="AK404"/>
  <c r="BR258"/>
  <c r="BS258" s="1"/>
  <c r="BT258" s="1"/>
  <c r="BM259"/>
  <c r="BN259" s="1"/>
  <c r="BO259" s="1"/>
  <c r="BO258"/>
  <c r="BR262"/>
  <c r="BS262" s="1"/>
  <c r="BT262" s="1"/>
  <c r="BM263"/>
  <c r="BN263" s="1"/>
  <c r="BO263" s="1"/>
  <c r="BO262"/>
  <c r="BR266"/>
  <c r="BS266" s="1"/>
  <c r="BT266" s="1"/>
  <c r="BM267"/>
  <c r="BN267" s="1"/>
  <c r="BO267" s="1"/>
  <c r="BO266"/>
  <c r="BM275"/>
  <c r="BN275" s="1"/>
  <c r="BO275" s="1"/>
  <c r="Z376"/>
  <c r="Z378"/>
  <c r="AM382"/>
  <c r="Z385"/>
  <c r="AK387"/>
  <c r="Z389"/>
  <c r="Z393"/>
  <c r="Z397"/>
  <c r="Z402"/>
  <c r="Z410"/>
  <c r="AM414"/>
  <c r="AK418"/>
  <c r="AK423"/>
  <c r="AK427"/>
  <c r="Z429"/>
  <c r="Z431"/>
  <c r="Z433"/>
  <c r="Z435"/>
  <c r="Z437"/>
  <c r="Z439"/>
  <c r="Z441"/>
  <c r="Z443"/>
  <c r="Z445"/>
  <c r="Z447"/>
  <c r="Z449"/>
  <c r="Z451"/>
  <c r="Z455"/>
  <c r="Z459"/>
  <c r="Z463"/>
  <c r="Z467"/>
  <c r="Y248"/>
  <c r="Z470"/>
  <c r="BR249"/>
  <c r="BS249" s="1"/>
  <c r="BT249" s="1"/>
  <c r="AK251"/>
  <c r="BT252"/>
  <c r="BM254"/>
  <c r="BN254" s="1"/>
  <c r="BO254" s="1"/>
  <c r="BN255"/>
  <c r="BO255" s="1"/>
  <c r="AK255"/>
  <c r="Z478"/>
  <c r="Z479"/>
  <c r="AK259"/>
  <c r="Z483"/>
  <c r="AK263"/>
  <c r="Z487"/>
  <c r="AK267"/>
  <c r="Z491"/>
  <c r="BO269"/>
  <c r="BT271"/>
  <c r="BN274"/>
  <c r="BO273" s="1"/>
  <c r="Z496"/>
  <c r="Z499"/>
  <c r="AK314"/>
  <c r="AK364"/>
  <c r="AK394"/>
  <c r="AK426"/>
  <c r="Y326"/>
  <c r="AK333"/>
  <c r="Y334"/>
  <c r="AM342"/>
  <c r="Y342"/>
  <c r="AK349"/>
  <c r="Y350"/>
  <c r="AM358"/>
  <c r="Y358"/>
  <c r="AK365"/>
  <c r="Y366"/>
  <c r="AM374"/>
  <c r="AK373"/>
  <c r="Y374"/>
  <c r="Y382"/>
  <c r="AM390"/>
  <c r="Y390"/>
  <c r="AM389"/>
  <c r="Y398"/>
  <c r="AK405"/>
  <c r="Y406"/>
  <c r="AM405"/>
  <c r="Y414"/>
  <c r="Y422"/>
  <c r="AM421"/>
  <c r="Y475"/>
  <c r="Y483"/>
  <c r="Y491"/>
  <c r="AK491"/>
  <c r="Y499"/>
  <c r="Y507"/>
  <c r="Y515"/>
  <c r="Y523"/>
  <c r="Y531"/>
  <c r="Y539"/>
  <c r="Y547"/>
  <c r="Y555"/>
  <c r="Y563"/>
  <c r="Y571"/>
  <c r="AK570"/>
  <c r="Y579"/>
  <c r="Y587"/>
  <c r="Y595"/>
  <c r="Y603"/>
  <c r="Y611"/>
  <c r="Y619"/>
  <c r="Y627"/>
  <c r="Y635"/>
  <c r="Y643"/>
  <c r="Z482"/>
  <c r="Z486"/>
  <c r="Z490"/>
  <c r="Z494"/>
  <c r="Z498"/>
  <c r="Y304"/>
  <c r="Z526"/>
  <c r="Y308"/>
  <c r="Z530"/>
  <c r="Y312"/>
  <c r="Z534"/>
  <c r="Z546"/>
  <c r="Z554"/>
  <c r="AK335"/>
  <c r="Z562"/>
  <c r="AK343"/>
  <c r="Z570"/>
  <c r="AK351"/>
  <c r="Z578"/>
  <c r="Z586"/>
  <c r="Z594"/>
  <c r="Z602"/>
  <c r="Z610"/>
  <c r="Z618"/>
  <c r="Z626"/>
  <c r="AK407"/>
  <c r="Z634"/>
  <c r="Z642"/>
  <c r="Y485"/>
  <c r="Y493"/>
  <c r="Y501"/>
  <c r="Y509"/>
  <c r="Y517"/>
  <c r="Y525"/>
  <c r="Y533"/>
  <c r="Y541"/>
  <c r="Y549"/>
  <c r="Y557"/>
  <c r="Y565"/>
  <c r="Y573"/>
  <c r="Y581"/>
  <c r="Y589"/>
  <c r="Y597"/>
  <c r="Y605"/>
  <c r="Y613"/>
  <c r="Y621"/>
  <c r="Y629"/>
  <c r="Y637"/>
  <c r="Y645"/>
  <c r="Z469"/>
  <c r="AM473"/>
  <c r="Z481"/>
  <c r="Z485"/>
  <c r="Z489"/>
  <c r="Z493"/>
  <c r="Z497"/>
  <c r="Z527"/>
  <c r="Z531"/>
  <c r="Z535"/>
  <c r="AK344"/>
  <c r="AK360"/>
  <c r="AK367"/>
  <c r="AK368"/>
  <c r="AK375"/>
  <c r="AK376"/>
  <c r="AK392"/>
  <c r="AK416"/>
  <c r="AK424"/>
  <c r="AK439"/>
  <c r="AK447"/>
  <c r="AK459"/>
  <c r="Y322"/>
  <c r="AK329"/>
  <c r="Y330"/>
  <c r="AM329"/>
  <c r="AM338"/>
  <c r="AK337"/>
  <c r="Y338"/>
  <c r="AM337"/>
  <c r="AK345"/>
  <c r="Y346"/>
  <c r="AM345"/>
  <c r="AM354"/>
  <c r="Y354"/>
  <c r="Y362"/>
  <c r="Y370"/>
  <c r="Y378"/>
  <c r="Y386"/>
  <c r="AM394"/>
  <c r="Y394"/>
  <c r="AM393"/>
  <c r="Y402"/>
  <c r="Y410"/>
  <c r="AM418"/>
  <c r="AK417"/>
  <c r="Y418"/>
  <c r="AM417"/>
  <c r="Y426"/>
  <c r="AM425"/>
  <c r="Y471"/>
  <c r="AM470"/>
  <c r="Y479"/>
  <c r="AK479"/>
  <c r="Y487"/>
  <c r="AK486"/>
  <c r="Y495"/>
  <c r="AM494"/>
  <c r="Y503"/>
  <c r="Y511"/>
  <c r="Y519"/>
  <c r="Y527"/>
  <c r="Y535"/>
  <c r="Y543"/>
  <c r="Y551"/>
  <c r="Y559"/>
  <c r="AK559"/>
  <c r="Y567"/>
  <c r="Y575"/>
  <c r="Y583"/>
  <c r="Y591"/>
  <c r="Y599"/>
  <c r="Y607"/>
  <c r="Y615"/>
  <c r="Y623"/>
  <c r="Y631"/>
  <c r="Y639"/>
  <c r="Y647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8"/>
  <c r="Z532"/>
  <c r="Z542"/>
  <c r="Z550"/>
  <c r="Z558"/>
  <c r="Z566"/>
  <c r="Z574"/>
  <c r="AK355"/>
  <c r="Z582"/>
  <c r="AK363"/>
  <c r="Z590"/>
  <c r="Z598"/>
  <c r="Z606"/>
  <c r="Z614"/>
  <c r="AK395"/>
  <c r="Z622"/>
  <c r="Z630"/>
  <c r="Z638"/>
  <c r="AK419"/>
  <c r="Z646"/>
  <c r="Z539"/>
  <c r="Y321"/>
  <c r="Z543"/>
  <c r="Y325"/>
  <c r="Z547"/>
  <c r="Y329"/>
  <c r="Z551"/>
  <c r="Y333"/>
  <c r="Z555"/>
  <c r="Y337"/>
  <c r="Z559"/>
  <c r="Y341"/>
  <c r="Z563"/>
  <c r="AM344"/>
  <c r="Y345"/>
  <c r="Z567"/>
  <c r="Y349"/>
  <c r="Z571"/>
  <c r="AM352"/>
  <c r="Y353"/>
  <c r="Z575"/>
  <c r="Y357"/>
  <c r="Z579"/>
  <c r="Y361"/>
  <c r="Z583"/>
  <c r="AM364"/>
  <c r="Y365"/>
  <c r="Z587"/>
  <c r="AM368"/>
  <c r="Y369"/>
  <c r="Z591"/>
  <c r="Y373"/>
  <c r="Z595"/>
  <c r="Y377"/>
  <c r="Z599"/>
  <c r="Y381"/>
  <c r="Z603"/>
  <c r="AM384"/>
  <c r="Y385"/>
  <c r="Z607"/>
  <c r="Y389"/>
  <c r="Z611"/>
  <c r="Y393"/>
  <c r="Z615"/>
  <c r="Y397"/>
  <c r="Z619"/>
  <c r="Y401"/>
  <c r="Z623"/>
  <c r="AM404"/>
  <c r="Y405"/>
  <c r="Z627"/>
  <c r="Y409"/>
  <c r="Z631"/>
  <c r="Y413"/>
  <c r="Z635"/>
  <c r="AM416"/>
  <c r="Y417"/>
  <c r="Z639"/>
  <c r="AM420"/>
  <c r="Y421"/>
  <c r="Z643"/>
  <c r="Y425"/>
  <c r="Z647"/>
  <c r="Y429"/>
  <c r="AK430"/>
  <c r="Y431"/>
  <c r="Y433"/>
  <c r="Y435"/>
  <c r="Y437"/>
  <c r="Y439"/>
  <c r="Y441"/>
  <c r="AK442"/>
  <c r="Y443"/>
  <c r="Y445"/>
  <c r="Y447"/>
  <c r="Y449"/>
  <c r="AK450"/>
  <c r="Y451"/>
  <c r="Y453"/>
  <c r="Y455"/>
  <c r="AK456"/>
  <c r="Y457"/>
  <c r="Y459"/>
  <c r="Y461"/>
  <c r="Y463"/>
  <c r="Y465"/>
  <c r="AK466"/>
  <c r="Y467"/>
  <c r="Y469"/>
  <c r="Y473"/>
  <c r="AK472"/>
  <c r="Y477"/>
  <c r="AK476"/>
  <c r="Z536"/>
  <c r="Z540"/>
  <c r="Z544"/>
  <c r="Z548"/>
  <c r="Z552"/>
  <c r="Z556"/>
  <c r="Z560"/>
  <c r="Z564"/>
  <c r="Z568"/>
  <c r="Z572"/>
  <c r="Z576"/>
  <c r="Z580"/>
  <c r="Z584"/>
  <c r="Z588"/>
  <c r="Z592"/>
  <c r="Z596"/>
  <c r="Z600"/>
  <c r="Z604"/>
  <c r="Z608"/>
  <c r="Z612"/>
  <c r="Z616"/>
  <c r="Z620"/>
  <c r="Z624"/>
  <c r="Z628"/>
  <c r="Z632"/>
  <c r="Z636"/>
  <c r="Z640"/>
  <c r="Z644"/>
  <c r="Z648"/>
  <c r="AK428"/>
  <c r="AM439"/>
  <c r="AM443"/>
  <c r="AM447"/>
  <c r="AM453"/>
  <c r="AM459"/>
  <c r="Z537"/>
  <c r="Z541"/>
  <c r="Z545"/>
  <c r="Z549"/>
  <c r="Z553"/>
  <c r="Z557"/>
  <c r="Z561"/>
  <c r="Z565"/>
  <c r="Z569"/>
  <c r="Z573"/>
  <c r="Z577"/>
  <c r="Z581"/>
  <c r="Z585"/>
  <c r="Z589"/>
  <c r="Z593"/>
  <c r="Z597"/>
  <c r="Z601"/>
  <c r="Z605"/>
  <c r="Z609"/>
  <c r="Z613"/>
  <c r="Z617"/>
  <c r="Z621"/>
  <c r="Z625"/>
  <c r="Z629"/>
  <c r="Z633"/>
  <c r="Z637"/>
  <c r="Z641"/>
  <c r="Z645"/>
  <c r="Z649"/>
  <c r="AQ27" i="1"/>
  <c r="AQ138"/>
  <c r="AQ134"/>
  <c r="AQ130"/>
  <c r="AQ126"/>
  <c r="AQ122"/>
  <c r="AQ118"/>
  <c r="AQ114"/>
  <c r="AQ110"/>
  <c r="AQ106"/>
  <c r="AQ102"/>
  <c r="AQ98"/>
  <c r="AQ94"/>
  <c r="AQ90"/>
  <c r="AQ86"/>
  <c r="AQ82"/>
  <c r="AQ78"/>
  <c r="AQ74"/>
  <c r="AQ70"/>
  <c r="AQ66"/>
  <c r="AQ62"/>
  <c r="AQ58"/>
  <c r="AQ54"/>
  <c r="AQ50"/>
  <c r="AQ46"/>
  <c r="AQ42"/>
  <c r="AQ38"/>
  <c r="AQ34"/>
  <c r="AQ30"/>
  <c r="AQ139"/>
  <c r="AS139" s="1"/>
  <c r="AQ135"/>
  <c r="AQ131"/>
  <c r="AQ127"/>
  <c r="AQ123"/>
  <c r="AS123" s="1"/>
  <c r="AQ119"/>
  <c r="AQ115"/>
  <c r="AQ111"/>
  <c r="AQ107"/>
  <c r="AS107" s="1"/>
  <c r="AQ103"/>
  <c r="AQ99"/>
  <c r="AQ95"/>
  <c r="AQ91"/>
  <c r="AS91" s="1"/>
  <c r="AQ87"/>
  <c r="AQ83"/>
  <c r="AQ79"/>
  <c r="AQ75"/>
  <c r="AS75" s="1"/>
  <c r="AQ71"/>
  <c r="AQ67"/>
  <c r="AQ63"/>
  <c r="AQ59"/>
  <c r="AS59" s="1"/>
  <c r="AQ55"/>
  <c r="AQ51"/>
  <c r="AQ47"/>
  <c r="AQ43"/>
  <c r="AS43" s="1"/>
  <c r="AQ39"/>
  <c r="AQ35"/>
  <c r="AQ31"/>
  <c r="AQ29"/>
  <c r="AQ136"/>
  <c r="AS136" s="1"/>
  <c r="AQ132"/>
  <c r="AQ128"/>
  <c r="AS128" s="1"/>
  <c r="AQ124"/>
  <c r="AS124" s="1"/>
  <c r="AQ120"/>
  <c r="AS120" s="1"/>
  <c r="AQ116"/>
  <c r="AQ112"/>
  <c r="AS112" s="1"/>
  <c r="AQ108"/>
  <c r="AQ104"/>
  <c r="AS104" s="1"/>
  <c r="AQ100"/>
  <c r="AQ96"/>
  <c r="AS96" s="1"/>
  <c r="AQ92"/>
  <c r="AS92" s="1"/>
  <c r="AQ88"/>
  <c r="AS88" s="1"/>
  <c r="AQ84"/>
  <c r="AQ80"/>
  <c r="AS80" s="1"/>
  <c r="AQ76"/>
  <c r="AQ72"/>
  <c r="AS72" s="1"/>
  <c r="AQ68"/>
  <c r="AQ64"/>
  <c r="AS64" s="1"/>
  <c r="AQ60"/>
  <c r="AS60" s="1"/>
  <c r="AQ56"/>
  <c r="AS56" s="1"/>
  <c r="AQ52"/>
  <c r="AQ48"/>
  <c r="AS48" s="1"/>
  <c r="AQ44"/>
  <c r="AQ40"/>
  <c r="AS40" s="1"/>
  <c r="AQ36"/>
  <c r="AQ32"/>
  <c r="AS32" s="1"/>
  <c r="AQ28"/>
  <c r="AQ137"/>
  <c r="AQ133"/>
  <c r="AQ129"/>
  <c r="AQ125"/>
  <c r="AS125" s="1"/>
  <c r="AQ121"/>
  <c r="AQ117"/>
  <c r="AQ113"/>
  <c r="AQ109"/>
  <c r="AS109" s="1"/>
  <c r="AQ105"/>
  <c r="AQ101"/>
  <c r="AQ97"/>
  <c r="AQ93"/>
  <c r="AS93" s="1"/>
  <c r="AQ89"/>
  <c r="AQ85"/>
  <c r="AQ81"/>
  <c r="AQ77"/>
  <c r="AS77" s="1"/>
  <c r="AQ73"/>
  <c r="AQ69"/>
  <c r="AQ65"/>
  <c r="AQ61"/>
  <c r="AS61" s="1"/>
  <c r="AQ57"/>
  <c r="AQ53"/>
  <c r="AQ49"/>
  <c r="AQ45"/>
  <c r="AS45" s="1"/>
  <c r="AQ41"/>
  <c r="AQ37"/>
  <c r="AQ33"/>
  <c r="BX150"/>
  <c r="BX146"/>
  <c r="BX142"/>
  <c r="BX118"/>
  <c r="BX114"/>
  <c r="BX110"/>
  <c r="BX86"/>
  <c r="BX82"/>
  <c r="BX78"/>
  <c r="BX54"/>
  <c r="BX50"/>
  <c r="BX46"/>
  <c r="BX38"/>
  <c r="BX30"/>
  <c r="BX147"/>
  <c r="BX135"/>
  <c r="BX127"/>
  <c r="BX119"/>
  <c r="BX107"/>
  <c r="BX99"/>
  <c r="BX87"/>
  <c r="BX63"/>
  <c r="BX134"/>
  <c r="BX130"/>
  <c r="BX126"/>
  <c r="BX102"/>
  <c r="BX98"/>
  <c r="BX94"/>
  <c r="BX70"/>
  <c r="BX66"/>
  <c r="BX62"/>
  <c r="BX34"/>
  <c r="BX151"/>
  <c r="BX143"/>
  <c r="BX139"/>
  <c r="BX131"/>
  <c r="BX123"/>
  <c r="BX115"/>
  <c r="BX111"/>
  <c r="BX103"/>
  <c r="BX95"/>
  <c r="BX91"/>
  <c r="BX83"/>
  <c r="BX79"/>
  <c r="BX75"/>
  <c r="BX71"/>
  <c r="BX67"/>
  <c r="BX59"/>
  <c r="BX55"/>
  <c r="BX51"/>
  <c r="BX47"/>
  <c r="BX43"/>
  <c r="BX39"/>
  <c r="BX35"/>
  <c r="BX31"/>
  <c r="BX152"/>
  <c r="BX148"/>
  <c r="BX144"/>
  <c r="BX140"/>
  <c r="BX136"/>
  <c r="BX132"/>
  <c r="BX128"/>
  <c r="BX124"/>
  <c r="BX120"/>
  <c r="BX116"/>
  <c r="BX112"/>
  <c r="BX108"/>
  <c r="BX104"/>
  <c r="BX100"/>
  <c r="BX96"/>
  <c r="BX92"/>
  <c r="BX88"/>
  <c r="BX84"/>
  <c r="BX80"/>
  <c r="BX76"/>
  <c r="BX72"/>
  <c r="BX68"/>
  <c r="BX64"/>
  <c r="BX60"/>
  <c r="BX56"/>
  <c r="BX52"/>
  <c r="BX48"/>
  <c r="BX44"/>
  <c r="BX40"/>
  <c r="BX36"/>
  <c r="BX32"/>
  <c r="AE144"/>
  <c r="AF144" s="1"/>
  <c r="AA170"/>
  <c r="BS297"/>
  <c r="BS293"/>
  <c r="BS289"/>
  <c r="BS301"/>
  <c r="BX154"/>
  <c r="BX138"/>
  <c r="BX122"/>
  <c r="BX106"/>
  <c r="BX90"/>
  <c r="BX74"/>
  <c r="BX58"/>
  <c r="BX42"/>
  <c r="AA93"/>
  <c r="AA57"/>
  <c r="AB57" s="1"/>
  <c r="AE77"/>
  <c r="AH49"/>
  <c r="BN269"/>
  <c r="BN265"/>
  <c r="BN261"/>
  <c r="BN257"/>
  <c r="BN253"/>
  <c r="BN249"/>
  <c r="BN245"/>
  <c r="BN241"/>
  <c r="BN237"/>
  <c r="BN233"/>
  <c r="BN229"/>
  <c r="BN225"/>
  <c r="BN221"/>
  <c r="BM151"/>
  <c r="BM147"/>
  <c r="BM143"/>
  <c r="BM135"/>
  <c r="BM131"/>
  <c r="BM127"/>
  <c r="BM119"/>
  <c r="BM115"/>
  <c r="BM111"/>
  <c r="BM103"/>
  <c r="BM99"/>
  <c r="BM95"/>
  <c r="BM87"/>
  <c r="BM83"/>
  <c r="BM79"/>
  <c r="BM71"/>
  <c r="BM67"/>
  <c r="BM63"/>
  <c r="BN53"/>
  <c r="BN48"/>
  <c r="BN37"/>
  <c r="BN32"/>
  <c r="AX138"/>
  <c r="AX134"/>
  <c r="AX122"/>
  <c r="AX110"/>
  <c r="AX90"/>
  <c r="AX78"/>
  <c r="AX62"/>
  <c r="BV29"/>
  <c r="BW29" s="1"/>
  <c r="BX29" s="1"/>
  <c r="BW25" s="1"/>
  <c r="BO44"/>
  <c r="BC140"/>
  <c r="BN29"/>
  <c r="BI177"/>
  <c r="BI173"/>
  <c r="BI169"/>
  <c r="BI165"/>
  <c r="BI161"/>
  <c r="BI157"/>
  <c r="BI153"/>
  <c r="BI149"/>
  <c r="BI145"/>
  <c r="BI141"/>
  <c r="BI137"/>
  <c r="BI133"/>
  <c r="BI129"/>
  <c r="BI125"/>
  <c r="BI121"/>
  <c r="BI117"/>
  <c r="BI113"/>
  <c r="BI109"/>
  <c r="BI105"/>
  <c r="BI101"/>
  <c r="BI97"/>
  <c r="BI93"/>
  <c r="BI89"/>
  <c r="BI85"/>
  <c r="BI81"/>
  <c r="BI77"/>
  <c r="BI73"/>
  <c r="BI69"/>
  <c r="BI65"/>
  <c r="BI61"/>
  <c r="BI57"/>
  <c r="BI53"/>
  <c r="BI49"/>
  <c r="BI45"/>
  <c r="BI41"/>
  <c r="BI37"/>
  <c r="BI33"/>
  <c r="F17"/>
  <c r="AX130"/>
  <c r="AX66"/>
  <c r="BN177"/>
  <c r="BN173"/>
  <c r="BN169"/>
  <c r="BN165"/>
  <c r="BN161"/>
  <c r="BN157"/>
  <c r="BN153"/>
  <c r="BN149"/>
  <c r="BN145"/>
  <c r="BN141"/>
  <c r="BN137"/>
  <c r="BN133"/>
  <c r="BN129"/>
  <c r="BN125"/>
  <c r="BN121"/>
  <c r="BN117"/>
  <c r="BN113"/>
  <c r="BN109"/>
  <c r="BN105"/>
  <c r="BN101"/>
  <c r="BN97"/>
  <c r="BN93"/>
  <c r="BN89"/>
  <c r="BN85"/>
  <c r="BN81"/>
  <c r="BN77"/>
  <c r="BN73"/>
  <c r="BN69"/>
  <c r="BO68" s="1"/>
  <c r="BN65"/>
  <c r="BO64" s="1"/>
  <c r="BN61"/>
  <c r="BO60" s="1"/>
  <c r="BN45"/>
  <c r="BS233"/>
  <c r="BS229"/>
  <c r="BS221"/>
  <c r="BS217"/>
  <c r="BS213"/>
  <c r="BS205"/>
  <c r="BS201"/>
  <c r="BS197"/>
  <c r="BS189"/>
  <c r="BS185"/>
  <c r="BS181"/>
  <c r="BS173"/>
  <c r="BS169"/>
  <c r="BS165"/>
  <c r="BS157"/>
  <c r="BS153"/>
  <c r="BS149"/>
  <c r="BS141"/>
  <c r="BS137"/>
  <c r="BS133"/>
  <c r="BS125"/>
  <c r="BS121"/>
  <c r="BS117"/>
  <c r="BT117" s="1"/>
  <c r="BS109"/>
  <c r="BS105"/>
  <c r="BS101"/>
  <c r="BS93"/>
  <c r="BS89"/>
  <c r="BS85"/>
  <c r="BT85" s="1"/>
  <c r="BS77"/>
  <c r="BS73"/>
  <c r="BS69"/>
  <c r="BS285"/>
  <c r="BS281"/>
  <c r="BS277"/>
  <c r="F16"/>
  <c r="BI35"/>
  <c r="BI31"/>
  <c r="BO56"/>
  <c r="BO40"/>
  <c r="BT101"/>
  <c r="BT69"/>
  <c r="BI29"/>
  <c r="BC83"/>
  <c r="BD82" s="1"/>
  <c r="BC71"/>
  <c r="BO278"/>
  <c r="BO246"/>
  <c r="AM127"/>
  <c r="BN279"/>
  <c r="BN275"/>
  <c r="BO275" s="1"/>
  <c r="BN271"/>
  <c r="BN267"/>
  <c r="BO266" s="1"/>
  <c r="BN263"/>
  <c r="BO262" s="1"/>
  <c r="BN259"/>
  <c r="BO259" s="1"/>
  <c r="BN255"/>
  <c r="BN251"/>
  <c r="BO251" s="1"/>
  <c r="BN247"/>
  <c r="BN243"/>
  <c r="BO242" s="1"/>
  <c r="BN239"/>
  <c r="BN235"/>
  <c r="BO234" s="1"/>
  <c r="BN231"/>
  <c r="BO230" s="1"/>
  <c r="BN227"/>
  <c r="BO227" s="1"/>
  <c r="BN223"/>
  <c r="BN51"/>
  <c r="BN35"/>
  <c r="BS302"/>
  <c r="BS275"/>
  <c r="BS259"/>
  <c r="BT258" s="1"/>
  <c r="BS243"/>
  <c r="BS227"/>
  <c r="BT226" s="1"/>
  <c r="BS211"/>
  <c r="BS195"/>
  <c r="BT194" s="1"/>
  <c r="BS179"/>
  <c r="BS163"/>
  <c r="BT162" s="1"/>
  <c r="BS147"/>
  <c r="BS131"/>
  <c r="BT130" s="1"/>
  <c r="BS115"/>
  <c r="BS99"/>
  <c r="BT98" s="1"/>
  <c r="BI179"/>
  <c r="BI175"/>
  <c r="BI171"/>
  <c r="BI167"/>
  <c r="BI163"/>
  <c r="BI159"/>
  <c r="BI155"/>
  <c r="BI151"/>
  <c r="BI147"/>
  <c r="BI143"/>
  <c r="BI139"/>
  <c r="BI135"/>
  <c r="BI131"/>
  <c r="BI127"/>
  <c r="BI123"/>
  <c r="BI119"/>
  <c r="BI115"/>
  <c r="BI111"/>
  <c r="BI107"/>
  <c r="BI103"/>
  <c r="BI99"/>
  <c r="BI95"/>
  <c r="BI91"/>
  <c r="BI87"/>
  <c r="BI83"/>
  <c r="BI79"/>
  <c r="BI75"/>
  <c r="BI71"/>
  <c r="BI67"/>
  <c r="BI63"/>
  <c r="BI59"/>
  <c r="BI55"/>
  <c r="BI51"/>
  <c r="BI47"/>
  <c r="BI43"/>
  <c r="BI39"/>
  <c r="BH178"/>
  <c r="BH176"/>
  <c r="BH174"/>
  <c r="BI174" s="1"/>
  <c r="BH172"/>
  <c r="BI172" s="1"/>
  <c r="BH170"/>
  <c r="BH168"/>
  <c r="BH166"/>
  <c r="BI166" s="1"/>
  <c r="BH164"/>
  <c r="BH162"/>
  <c r="BH160"/>
  <c r="BH158"/>
  <c r="BI158" s="1"/>
  <c r="BH156"/>
  <c r="BI156" s="1"/>
  <c r="BH154"/>
  <c r="BH152"/>
  <c r="BH150"/>
  <c r="BI150" s="1"/>
  <c r="BH148"/>
  <c r="BH146"/>
  <c r="BH144"/>
  <c r="BH142"/>
  <c r="BI142" s="1"/>
  <c r="BH140"/>
  <c r="BI140" s="1"/>
  <c r="BH138"/>
  <c r="BH136"/>
  <c r="BH134"/>
  <c r="BI134" s="1"/>
  <c r="BH132"/>
  <c r="BH130"/>
  <c r="BH128"/>
  <c r="BH126"/>
  <c r="BI126" s="1"/>
  <c r="BH124"/>
  <c r="BI124" s="1"/>
  <c r="BH122"/>
  <c r="BH120"/>
  <c r="BH118"/>
  <c r="BI118" s="1"/>
  <c r="BH116"/>
  <c r="BH114"/>
  <c r="BH112"/>
  <c r="BH110"/>
  <c r="BI110" s="1"/>
  <c r="BH108"/>
  <c r="BI108" s="1"/>
  <c r="BH106"/>
  <c r="BH104"/>
  <c r="BH102"/>
  <c r="BI102" s="1"/>
  <c r="BH100"/>
  <c r="BH98"/>
  <c r="BH96"/>
  <c r="BH94"/>
  <c r="BI94" s="1"/>
  <c r="BH92"/>
  <c r="BI92" s="1"/>
  <c r="BH90"/>
  <c r="BH88"/>
  <c r="BH86"/>
  <c r="BI86" s="1"/>
  <c r="BH84"/>
  <c r="BH82"/>
  <c r="BH80"/>
  <c r="BH78"/>
  <c r="BI78" s="1"/>
  <c r="BH76"/>
  <c r="BI76" s="1"/>
  <c r="BH74"/>
  <c r="BH72"/>
  <c r="BH70"/>
  <c r="BI70" s="1"/>
  <c r="BH68"/>
  <c r="BH66"/>
  <c r="BH64"/>
  <c r="BI64" s="1"/>
  <c r="BJ64" s="1"/>
  <c r="BH62"/>
  <c r="BI62" s="1"/>
  <c r="BH60"/>
  <c r="BI60" s="1"/>
  <c r="BH58"/>
  <c r="BH56"/>
  <c r="BH54"/>
  <c r="BI54" s="1"/>
  <c r="BH52"/>
  <c r="BH50"/>
  <c r="BI50" s="1"/>
  <c r="BJ49" s="1"/>
  <c r="BH48"/>
  <c r="BH46"/>
  <c r="BI46" s="1"/>
  <c r="BH44"/>
  <c r="BI44" s="1"/>
  <c r="BH42"/>
  <c r="BI42" s="1"/>
  <c r="BJ41" s="1"/>
  <c r="BH40"/>
  <c r="BH38"/>
  <c r="BI38" s="1"/>
  <c r="BH36"/>
  <c r="BH34"/>
  <c r="BH32"/>
  <c r="BI32" s="1"/>
  <c r="BJ32" s="1"/>
  <c r="BH30"/>
  <c r="BO250"/>
  <c r="AM119"/>
  <c r="AA105"/>
  <c r="AB105" s="1"/>
  <c r="AA73"/>
  <c r="AB73" s="1"/>
  <c r="AE49"/>
  <c r="AH77"/>
  <c r="BN134"/>
  <c r="BN130"/>
  <c r="BN126"/>
  <c r="BO126" s="1"/>
  <c r="BN122"/>
  <c r="BO121" s="1"/>
  <c r="BN118"/>
  <c r="BN114"/>
  <c r="BN110"/>
  <c r="BO109" s="1"/>
  <c r="BN106"/>
  <c r="BO105" s="1"/>
  <c r="BN102"/>
  <c r="BN98"/>
  <c r="BN94"/>
  <c r="BO94" s="1"/>
  <c r="BN90"/>
  <c r="BO89" s="1"/>
  <c r="BN86"/>
  <c r="BN82"/>
  <c r="BN78"/>
  <c r="BO78" s="1"/>
  <c r="BN74"/>
  <c r="BO73" s="1"/>
  <c r="BN70"/>
  <c r="BN66"/>
  <c r="BN62"/>
  <c r="BO62" s="1"/>
  <c r="BN52"/>
  <c r="BO52" s="1"/>
  <c r="BN47"/>
  <c r="BN36"/>
  <c r="BO36" s="1"/>
  <c r="BN31"/>
  <c r="BO30" s="1"/>
  <c r="BS292"/>
  <c r="BT292" s="1"/>
  <c r="BS271"/>
  <c r="BS255"/>
  <c r="BT255" s="1"/>
  <c r="BS239"/>
  <c r="BT239" s="1"/>
  <c r="BS223"/>
  <c r="BT223" s="1"/>
  <c r="BS207"/>
  <c r="BS191"/>
  <c r="BT191" s="1"/>
  <c r="BS175"/>
  <c r="BT175" s="1"/>
  <c r="BS159"/>
  <c r="BT159" s="1"/>
  <c r="BS143"/>
  <c r="BS127"/>
  <c r="BT127" s="1"/>
  <c r="BS111"/>
  <c r="BT110" s="1"/>
  <c r="BS95"/>
  <c r="BT95" s="1"/>
  <c r="BO258"/>
  <c r="BO226"/>
  <c r="AF77"/>
  <c r="AI113"/>
  <c r="AI105"/>
  <c r="AB89"/>
  <c r="AI81"/>
  <c r="AI73"/>
  <c r="AF45"/>
  <c r="AB41"/>
  <c r="BN219"/>
  <c r="BO219" s="1"/>
  <c r="BN215"/>
  <c r="BO215" s="1"/>
  <c r="BN211"/>
  <c r="BN207"/>
  <c r="BO207" s="1"/>
  <c r="BN203"/>
  <c r="BO203" s="1"/>
  <c r="BN199"/>
  <c r="BO199" s="1"/>
  <c r="BN195"/>
  <c r="BN191"/>
  <c r="BN187"/>
  <c r="BO186" s="1"/>
  <c r="BN183"/>
  <c r="BO183" s="1"/>
  <c r="BN179"/>
  <c r="BN175"/>
  <c r="BO175" s="1"/>
  <c r="BN171"/>
  <c r="BO171" s="1"/>
  <c r="BN167"/>
  <c r="BO167" s="1"/>
  <c r="BN163"/>
  <c r="BN159"/>
  <c r="BO159" s="1"/>
  <c r="BN155"/>
  <c r="BO155" s="1"/>
  <c r="BN151"/>
  <c r="BO151" s="1"/>
  <c r="BN147"/>
  <c r="BN143"/>
  <c r="BN139"/>
  <c r="BO139" s="1"/>
  <c r="BN135"/>
  <c r="BO134" s="1"/>
  <c r="BN131"/>
  <c r="BN127"/>
  <c r="BO127" s="1"/>
  <c r="BN123"/>
  <c r="BO123" s="1"/>
  <c r="BN119"/>
  <c r="BO119" s="1"/>
  <c r="BN115"/>
  <c r="BN111"/>
  <c r="BN107"/>
  <c r="BO107" s="1"/>
  <c r="BN103"/>
  <c r="BO102" s="1"/>
  <c r="BN99"/>
  <c r="BN95"/>
  <c r="BN91"/>
  <c r="BO91" s="1"/>
  <c r="BN87"/>
  <c r="BO87" s="1"/>
  <c r="BN83"/>
  <c r="BN79"/>
  <c r="BN75"/>
  <c r="BO75" s="1"/>
  <c r="BN71"/>
  <c r="BO70" s="1"/>
  <c r="BN67"/>
  <c r="BN63"/>
  <c r="BN59"/>
  <c r="BO48"/>
  <c r="BN43"/>
  <c r="BO32"/>
  <c r="AX29"/>
  <c r="BC110"/>
  <c r="BC102"/>
  <c r="BN58"/>
  <c r="BO57" s="1"/>
  <c r="BN54"/>
  <c r="BO53" s="1"/>
  <c r="BN50"/>
  <c r="BO50" s="1"/>
  <c r="BN46"/>
  <c r="BN42"/>
  <c r="BO41" s="1"/>
  <c r="BN38"/>
  <c r="BO38" s="1"/>
  <c r="BN34"/>
  <c r="BO34" s="1"/>
  <c r="BN30"/>
  <c r="BS283"/>
  <c r="BT282" s="1"/>
  <c r="BS267"/>
  <c r="BT267" s="1"/>
  <c r="BS251"/>
  <c r="BT250" s="1"/>
  <c r="BS235"/>
  <c r="BS219"/>
  <c r="BT218" s="1"/>
  <c r="BS203"/>
  <c r="BT203" s="1"/>
  <c r="BS187"/>
  <c r="BT186" s="1"/>
  <c r="BS171"/>
  <c r="BS155"/>
  <c r="BT154" s="1"/>
  <c r="BS139"/>
  <c r="BT139" s="1"/>
  <c r="BS123"/>
  <c r="BT122" s="1"/>
  <c r="BS107"/>
  <c r="BS91"/>
  <c r="BT90" s="1"/>
  <c r="BI178"/>
  <c r="BJ177" s="1"/>
  <c r="BI176"/>
  <c r="BJ176" s="1"/>
  <c r="BI170"/>
  <c r="BJ169" s="1"/>
  <c r="BI168"/>
  <c r="BJ168" s="1"/>
  <c r="BI164"/>
  <c r="BJ163" s="1"/>
  <c r="BI162"/>
  <c r="BJ161" s="1"/>
  <c r="BI160"/>
  <c r="BJ160" s="1"/>
  <c r="BI154"/>
  <c r="BJ153" s="1"/>
  <c r="BI152"/>
  <c r="BJ152" s="1"/>
  <c r="BI148"/>
  <c r="BJ147" s="1"/>
  <c r="BI146"/>
  <c r="BJ145" s="1"/>
  <c r="BI144"/>
  <c r="BJ144" s="1"/>
  <c r="BI138"/>
  <c r="BJ137" s="1"/>
  <c r="BI136"/>
  <c r="BJ136" s="1"/>
  <c r="BI132"/>
  <c r="BJ131" s="1"/>
  <c r="BI130"/>
  <c r="BJ129" s="1"/>
  <c r="BI128"/>
  <c r="BJ128" s="1"/>
  <c r="BI122"/>
  <c r="BJ121" s="1"/>
  <c r="BI120"/>
  <c r="BJ120" s="1"/>
  <c r="BI116"/>
  <c r="BJ115" s="1"/>
  <c r="BI114"/>
  <c r="BJ113" s="1"/>
  <c r="BI112"/>
  <c r="BJ112" s="1"/>
  <c r="BI106"/>
  <c r="BJ105" s="1"/>
  <c r="BI104"/>
  <c r="BJ104" s="1"/>
  <c r="BI100"/>
  <c r="BJ99" s="1"/>
  <c r="BI98"/>
  <c r="BJ97" s="1"/>
  <c r="BI96"/>
  <c r="BJ96" s="1"/>
  <c r="BI90"/>
  <c r="BJ89" s="1"/>
  <c r="BI88"/>
  <c r="BJ88" s="1"/>
  <c r="BI84"/>
  <c r="BJ83" s="1"/>
  <c r="BI82"/>
  <c r="BJ81" s="1"/>
  <c r="BI80"/>
  <c r="BJ80" s="1"/>
  <c r="BI74"/>
  <c r="BJ73" s="1"/>
  <c r="BI72"/>
  <c r="BJ72" s="1"/>
  <c r="BI68"/>
  <c r="BJ67" s="1"/>
  <c r="BI66"/>
  <c r="BJ65" s="1"/>
  <c r="BI58"/>
  <c r="BJ57" s="1"/>
  <c r="BI56"/>
  <c r="BJ56" s="1"/>
  <c r="BI52"/>
  <c r="BJ51" s="1"/>
  <c r="BI48"/>
  <c r="BJ48" s="1"/>
  <c r="BI40"/>
  <c r="BJ40" s="1"/>
  <c r="BI36"/>
  <c r="BJ35" s="1"/>
  <c r="BI34"/>
  <c r="BJ33" s="1"/>
  <c r="BI30"/>
  <c r="BJ30" s="1"/>
  <c r="BO270"/>
  <c r="BO254"/>
  <c r="BO238"/>
  <c r="BO222"/>
  <c r="BC115"/>
  <c r="BC103"/>
  <c r="BC163"/>
  <c r="BD162" s="1"/>
  <c r="BC158"/>
  <c r="BC152"/>
  <c r="BD151" s="1"/>
  <c r="BC142"/>
  <c r="BD141" s="1"/>
  <c r="BS300"/>
  <c r="BT299" s="1"/>
  <c r="BS284"/>
  <c r="BS268"/>
  <c r="BT268" s="1"/>
  <c r="BS252"/>
  <c r="BS236"/>
  <c r="BT235" s="1"/>
  <c r="BS220"/>
  <c r="BS204"/>
  <c r="BT204" s="1"/>
  <c r="BS188"/>
  <c r="BT188" s="1"/>
  <c r="BS172"/>
  <c r="BT171" s="1"/>
  <c r="BS156"/>
  <c r="BS140"/>
  <c r="BT140" s="1"/>
  <c r="BS124"/>
  <c r="BS108"/>
  <c r="BT108" s="1"/>
  <c r="BS92"/>
  <c r="BS76"/>
  <c r="BT76" s="1"/>
  <c r="BJ132"/>
  <c r="BJ68"/>
  <c r="BJ52"/>
  <c r="BS87"/>
  <c r="BT87" s="1"/>
  <c r="BS83"/>
  <c r="BS79"/>
  <c r="BT79" s="1"/>
  <c r="BS75"/>
  <c r="BT74" s="1"/>
  <c r="BS71"/>
  <c r="BT71" s="1"/>
  <c r="BT45"/>
  <c r="BT41"/>
  <c r="BT48"/>
  <c r="BO271"/>
  <c r="BO263"/>
  <c r="BO255"/>
  <c r="BO247"/>
  <c r="BO239"/>
  <c r="BO231"/>
  <c r="BO223"/>
  <c r="BO45"/>
  <c r="BO276"/>
  <c r="BO272"/>
  <c r="BO268"/>
  <c r="BO264"/>
  <c r="BO260"/>
  <c r="BO256"/>
  <c r="BO252"/>
  <c r="BO248"/>
  <c r="BO244"/>
  <c r="BO240"/>
  <c r="BO236"/>
  <c r="BO232"/>
  <c r="BO228"/>
  <c r="BO224"/>
  <c r="BO220"/>
  <c r="BO214"/>
  <c r="BO210"/>
  <c r="BO206"/>
  <c r="BO194"/>
  <c r="BO190"/>
  <c r="BO178"/>
  <c r="BO174"/>
  <c r="BO162"/>
  <c r="BO158"/>
  <c r="BO150"/>
  <c r="BO146"/>
  <c r="BO142"/>
  <c r="BO118"/>
  <c r="BO54"/>
  <c r="BO46"/>
  <c r="BD157"/>
  <c r="BT295"/>
  <c r="BT287"/>
  <c r="BT283"/>
  <c r="BT279"/>
  <c r="BT275"/>
  <c r="BT271"/>
  <c r="BT263"/>
  <c r="BT251"/>
  <c r="BT247"/>
  <c r="BT243"/>
  <c r="BT231"/>
  <c r="BT227"/>
  <c r="BT219"/>
  <c r="BT215"/>
  <c r="BT211"/>
  <c r="BT207"/>
  <c r="BT199"/>
  <c r="BT183"/>
  <c r="BT179"/>
  <c r="BT167"/>
  <c r="BT163"/>
  <c r="BT155"/>
  <c r="BT151"/>
  <c r="BT147"/>
  <c r="BT143"/>
  <c r="BT135"/>
  <c r="BT119"/>
  <c r="BT115"/>
  <c r="BT103"/>
  <c r="BT99"/>
  <c r="BT91"/>
  <c r="BT83"/>
  <c r="BT67"/>
  <c r="BT63"/>
  <c r="BT59"/>
  <c r="BT55"/>
  <c r="BT51"/>
  <c r="BT47"/>
  <c r="BT43"/>
  <c r="BT39"/>
  <c r="BT35"/>
  <c r="BT31"/>
  <c r="BO217"/>
  <c r="BO213"/>
  <c r="BO209"/>
  <c r="BO205"/>
  <c r="BO201"/>
  <c r="BO197"/>
  <c r="BO193"/>
  <c r="BO189"/>
  <c r="BO185"/>
  <c r="BO181"/>
  <c r="BO177"/>
  <c r="BO173"/>
  <c r="BO169"/>
  <c r="BO165"/>
  <c r="BO161"/>
  <c r="BO157"/>
  <c r="BO153"/>
  <c r="BO149"/>
  <c r="BO145"/>
  <c r="BO141"/>
  <c r="BO137"/>
  <c r="BO133"/>
  <c r="BO117"/>
  <c r="BO101"/>
  <c r="BO85"/>
  <c r="BO69"/>
  <c r="BD29"/>
  <c r="BD160"/>
  <c r="BT302"/>
  <c r="BT298"/>
  <c r="BT294"/>
  <c r="BT290"/>
  <c r="BT286"/>
  <c r="BT278"/>
  <c r="BT274"/>
  <c r="BT270"/>
  <c r="BT262"/>
  <c r="BT254"/>
  <c r="BT246"/>
  <c r="BT242"/>
  <c r="BT234"/>
  <c r="BT230"/>
  <c r="BT222"/>
  <c r="BT214"/>
  <c r="BT210"/>
  <c r="BT206"/>
  <c r="BT198"/>
  <c r="BT190"/>
  <c r="BT182"/>
  <c r="BT178"/>
  <c r="BT170"/>
  <c r="BT166"/>
  <c r="BT150"/>
  <c r="BT146"/>
  <c r="BT142"/>
  <c r="BT134"/>
  <c r="BT126"/>
  <c r="BT53"/>
  <c r="BT37"/>
  <c r="BC118"/>
  <c r="BT296"/>
  <c r="BT288"/>
  <c r="BT284"/>
  <c r="BT280"/>
  <c r="BT272"/>
  <c r="BT264"/>
  <c r="BT256"/>
  <c r="BT252"/>
  <c r="BT248"/>
  <c r="BT240"/>
  <c r="BT232"/>
  <c r="BT224"/>
  <c r="BT220"/>
  <c r="BT216"/>
  <c r="BT208"/>
  <c r="BT200"/>
  <c r="BT192"/>
  <c r="BT184"/>
  <c r="BT176"/>
  <c r="BT168"/>
  <c r="BT160"/>
  <c r="BT156"/>
  <c r="BT144"/>
  <c r="BT136"/>
  <c r="BT128"/>
  <c r="BT124"/>
  <c r="BT120"/>
  <c r="BT112"/>
  <c r="BT104"/>
  <c r="BT96"/>
  <c r="BT92"/>
  <c r="BT88"/>
  <c r="BT80"/>
  <c r="BT72"/>
  <c r="BT64"/>
  <c r="BT60"/>
  <c r="BT56"/>
  <c r="BT44"/>
  <c r="BT40"/>
  <c r="BT32"/>
  <c r="BC135"/>
  <c r="BO216"/>
  <c r="BO204"/>
  <c r="BO191"/>
  <c r="BO192"/>
  <c r="BO179"/>
  <c r="BO180"/>
  <c r="BO168"/>
  <c r="BO156"/>
  <c r="BO143"/>
  <c r="BO144"/>
  <c r="BO128"/>
  <c r="BT152"/>
  <c r="BT293"/>
  <c r="BT277"/>
  <c r="BT261"/>
  <c r="BT245"/>
  <c r="BT229"/>
  <c r="BT213"/>
  <c r="BT197"/>
  <c r="BT181"/>
  <c r="BT165"/>
  <c r="BT149"/>
  <c r="BT133"/>
  <c r="BO277"/>
  <c r="BO273"/>
  <c r="BO269"/>
  <c r="BO265"/>
  <c r="BO261"/>
  <c r="BO257"/>
  <c r="BO253"/>
  <c r="BO249"/>
  <c r="BO245"/>
  <c r="BO241"/>
  <c r="BO237"/>
  <c r="BO233"/>
  <c r="BO229"/>
  <c r="BO225"/>
  <c r="BO221"/>
  <c r="BO67"/>
  <c r="BO63"/>
  <c r="BO59"/>
  <c r="BO55"/>
  <c r="BO47"/>
  <c r="BO43"/>
  <c r="BO39"/>
  <c r="BT276"/>
  <c r="BT260"/>
  <c r="BT244"/>
  <c r="BT228"/>
  <c r="BT212"/>
  <c r="BT196"/>
  <c r="BT180"/>
  <c r="BT164"/>
  <c r="BT148"/>
  <c r="BT132"/>
  <c r="BT116"/>
  <c r="BT100"/>
  <c r="BT84"/>
  <c r="BT68"/>
  <c r="BT52"/>
  <c r="BT36"/>
  <c r="BT297"/>
  <c r="BT281"/>
  <c r="BT265"/>
  <c r="BT249"/>
  <c r="BT233"/>
  <c r="BT217"/>
  <c r="BT201"/>
  <c r="BT185"/>
  <c r="BT169"/>
  <c r="BT153"/>
  <c r="BT137"/>
  <c r="BT121"/>
  <c r="BT105"/>
  <c r="BT89"/>
  <c r="BT73"/>
  <c r="BT57"/>
  <c r="BO208"/>
  <c r="BO196"/>
  <c r="BO195"/>
  <c r="BO184"/>
  <c r="BO172"/>
  <c r="BO160"/>
  <c r="BO148"/>
  <c r="BO147"/>
  <c r="BO136"/>
  <c r="BO131"/>
  <c r="BO132"/>
  <c r="BO120"/>
  <c r="BO115"/>
  <c r="BO116"/>
  <c r="BO111"/>
  <c r="BO112"/>
  <c r="BO108"/>
  <c r="BO103"/>
  <c r="BO104"/>
  <c r="BO99"/>
  <c r="BO100"/>
  <c r="BO95"/>
  <c r="BO96"/>
  <c r="BO92"/>
  <c r="BO88"/>
  <c r="BO83"/>
  <c r="BO84"/>
  <c r="BO79"/>
  <c r="BO80"/>
  <c r="BO76"/>
  <c r="BO72"/>
  <c r="BT301"/>
  <c r="BT285"/>
  <c r="BT269"/>
  <c r="BT253"/>
  <c r="BT237"/>
  <c r="BT221"/>
  <c r="BT205"/>
  <c r="BT189"/>
  <c r="BT173"/>
  <c r="BT157"/>
  <c r="BT141"/>
  <c r="BT125"/>
  <c r="BT109"/>
  <c r="BT93"/>
  <c r="BT77"/>
  <c r="BT61"/>
  <c r="BT29"/>
  <c r="BO211"/>
  <c r="BO212"/>
  <c r="BO200"/>
  <c r="BO188"/>
  <c r="BO176"/>
  <c r="BO163"/>
  <c r="BO164"/>
  <c r="BO152"/>
  <c r="BO140"/>
  <c r="BO124"/>
  <c r="BT118"/>
  <c r="BT114"/>
  <c r="BT106"/>
  <c r="BT102"/>
  <c r="BT86"/>
  <c r="BT82"/>
  <c r="BT70"/>
  <c r="BT66"/>
  <c r="BT62"/>
  <c r="BT58"/>
  <c r="BT54"/>
  <c r="BT50"/>
  <c r="BT46"/>
  <c r="BT42"/>
  <c r="BT38"/>
  <c r="BT34"/>
  <c r="BT30"/>
  <c r="BT289"/>
  <c r="BT273"/>
  <c r="BT257"/>
  <c r="BT241"/>
  <c r="BT225"/>
  <c r="BT209"/>
  <c r="BT193"/>
  <c r="BT177"/>
  <c r="BT161"/>
  <c r="BT145"/>
  <c r="BT129"/>
  <c r="BT113"/>
  <c r="BT97"/>
  <c r="BT81"/>
  <c r="BT65"/>
  <c r="BT49"/>
  <c r="BT33"/>
  <c r="BD154"/>
  <c r="BD144"/>
  <c r="BD70"/>
  <c r="BC134"/>
  <c r="BD102"/>
  <c r="BC131"/>
  <c r="BC127"/>
  <c r="BD126" s="1"/>
  <c r="BC123"/>
  <c r="BC119"/>
  <c r="BD118" s="1"/>
  <c r="BC111"/>
  <c r="BC107"/>
  <c r="BC99"/>
  <c r="BC95"/>
  <c r="BD94" s="1"/>
  <c r="BD148"/>
  <c r="BO29"/>
  <c r="BD90"/>
  <c r="BD86"/>
  <c r="BD78"/>
  <c r="BD74"/>
  <c r="BD161"/>
  <c r="BD158"/>
  <c r="BD155"/>
  <c r="BD145"/>
  <c r="BD142"/>
  <c r="BD159"/>
  <c r="BD143"/>
  <c r="BC138"/>
  <c r="BD138" s="1"/>
  <c r="BC130"/>
  <c r="BC122"/>
  <c r="BD122" s="1"/>
  <c r="BC114"/>
  <c r="BD114" s="1"/>
  <c r="BC106"/>
  <c r="BC98"/>
  <c r="BD147"/>
  <c r="BD139"/>
  <c r="BD149"/>
  <c r="BD146"/>
  <c r="BD156"/>
  <c r="BD153"/>
  <c r="BD150"/>
  <c r="BD140"/>
  <c r="BC136"/>
  <c r="BC132"/>
  <c r="BC128"/>
  <c r="BC124"/>
  <c r="BC120"/>
  <c r="BC116"/>
  <c r="BC112"/>
  <c r="BC108"/>
  <c r="BC104"/>
  <c r="BC100"/>
  <c r="BC96"/>
  <c r="BC92"/>
  <c r="BD91" s="1"/>
  <c r="BC88"/>
  <c r="BC84"/>
  <c r="BC80"/>
  <c r="BD79" s="1"/>
  <c r="BC76"/>
  <c r="BC72"/>
  <c r="BC68"/>
  <c r="BC64"/>
  <c r="BC60"/>
  <c r="BC56"/>
  <c r="BC52"/>
  <c r="BC48"/>
  <c r="BC44"/>
  <c r="BC40"/>
  <c r="BC36"/>
  <c r="BC32"/>
  <c r="BC137"/>
  <c r="BD137" s="1"/>
  <c r="BC133"/>
  <c r="BC129"/>
  <c r="BC125"/>
  <c r="BD125" s="1"/>
  <c r="BC121"/>
  <c r="BC117"/>
  <c r="BC113"/>
  <c r="BC109"/>
  <c r="BC105"/>
  <c r="BD105" s="1"/>
  <c r="BC101"/>
  <c r="BD101" s="1"/>
  <c r="BC97"/>
  <c r="BC93"/>
  <c r="BD93" s="1"/>
  <c r="BC89"/>
  <c r="BD89" s="1"/>
  <c r="BC85"/>
  <c r="BD85" s="1"/>
  <c r="BC81"/>
  <c r="BD81" s="1"/>
  <c r="BC77"/>
  <c r="BD77" s="1"/>
  <c r="BC73"/>
  <c r="BD73" s="1"/>
  <c r="BC69"/>
  <c r="BD69" s="1"/>
  <c r="BC65"/>
  <c r="BD65" s="1"/>
  <c r="BC61"/>
  <c r="BD61" s="1"/>
  <c r="BC57"/>
  <c r="BD57" s="1"/>
  <c r="BC53"/>
  <c r="BD53" s="1"/>
  <c r="BC49"/>
  <c r="BD49" s="1"/>
  <c r="BC45"/>
  <c r="BD45" s="1"/>
  <c r="BC41"/>
  <c r="BD41" s="1"/>
  <c r="BC37"/>
  <c r="BD37" s="1"/>
  <c r="BC33"/>
  <c r="BD33" s="1"/>
  <c r="BC67"/>
  <c r="BC63"/>
  <c r="BC59"/>
  <c r="BC55"/>
  <c r="BC51"/>
  <c r="BC47"/>
  <c r="BC43"/>
  <c r="BC39"/>
  <c r="BC35"/>
  <c r="BC31"/>
  <c r="AS138"/>
  <c r="AS134"/>
  <c r="AS132"/>
  <c r="AS130"/>
  <c r="AS126"/>
  <c r="AS122"/>
  <c r="AS118"/>
  <c r="AS116"/>
  <c r="AS114"/>
  <c r="AS110"/>
  <c r="AS108"/>
  <c r="AS106"/>
  <c r="AS102"/>
  <c r="AS100"/>
  <c r="AS98"/>
  <c r="AS94"/>
  <c r="AS90"/>
  <c r="AS86"/>
  <c r="AS84"/>
  <c r="AS82"/>
  <c r="AS78"/>
  <c r="AS76"/>
  <c r="AS74"/>
  <c r="AS70"/>
  <c r="AS68"/>
  <c r="AS66"/>
  <c r="AS62"/>
  <c r="AS58"/>
  <c r="AS54"/>
  <c r="AS52"/>
  <c r="AS50"/>
  <c r="AS46"/>
  <c r="AS44"/>
  <c r="AS42"/>
  <c r="AS38"/>
  <c r="AS36"/>
  <c r="AS34"/>
  <c r="AS30"/>
  <c r="AS137"/>
  <c r="AS135"/>
  <c r="AS133"/>
  <c r="AS131"/>
  <c r="AS129"/>
  <c r="AS127"/>
  <c r="AS121"/>
  <c r="AS119"/>
  <c r="AS117"/>
  <c r="AS115"/>
  <c r="AS113"/>
  <c r="AS111"/>
  <c r="AS105"/>
  <c r="AS103"/>
  <c r="AS101"/>
  <c r="AS99"/>
  <c r="AS97"/>
  <c r="AS95"/>
  <c r="AS89"/>
  <c r="AS87"/>
  <c r="AS85"/>
  <c r="AS83"/>
  <c r="AS81"/>
  <c r="AS79"/>
  <c r="AS73"/>
  <c r="AS71"/>
  <c r="AS69"/>
  <c r="AS67"/>
  <c r="AS65"/>
  <c r="AS63"/>
  <c r="AS57"/>
  <c r="AS55"/>
  <c r="AS53"/>
  <c r="AS51"/>
  <c r="AS49"/>
  <c r="AS47"/>
  <c r="AS41"/>
  <c r="AS39"/>
  <c r="AS37"/>
  <c r="AS35"/>
  <c r="AS33"/>
  <c r="AS31"/>
  <c r="AX33"/>
  <c r="AX34"/>
  <c r="AX35"/>
  <c r="AX31"/>
  <c r="AX74"/>
  <c r="AX58"/>
  <c r="AA196"/>
  <c r="AB196" s="1"/>
  <c r="AH196"/>
  <c r="AI196" s="1"/>
  <c r="AE196"/>
  <c r="AF196" s="1"/>
  <c r="AA156"/>
  <c r="AB156" s="1"/>
  <c r="AE156"/>
  <c r="AF156" s="1"/>
  <c r="AH154"/>
  <c r="AI154" s="1"/>
  <c r="AA154"/>
  <c r="AB154" s="1"/>
  <c r="AH92"/>
  <c r="AI92" s="1"/>
  <c r="AE92"/>
  <c r="AF92" s="1"/>
  <c r="AE68"/>
  <c r="AF68" s="1"/>
  <c r="AH68"/>
  <c r="AI68" s="1"/>
  <c r="AA68"/>
  <c r="AB68" s="1"/>
  <c r="AH203"/>
  <c r="AI203" s="1"/>
  <c r="AE203"/>
  <c r="AF203" s="1"/>
  <c r="AH139"/>
  <c r="AI139" s="1"/>
  <c r="AE139"/>
  <c r="AF139" s="1"/>
  <c r="AH210"/>
  <c r="AI210" s="1"/>
  <c r="AA210"/>
  <c r="AB210" s="1"/>
  <c r="AH186"/>
  <c r="AI186" s="1"/>
  <c r="AA186"/>
  <c r="AB186" s="1"/>
  <c r="AH146"/>
  <c r="AI146" s="1"/>
  <c r="AA146"/>
  <c r="AB146" s="1"/>
  <c r="AH60"/>
  <c r="AI60" s="1"/>
  <c r="AE60"/>
  <c r="AF60" s="1"/>
  <c r="AA60"/>
  <c r="AB60" s="1"/>
  <c r="AD113"/>
  <c r="AA220"/>
  <c r="AB220" s="1"/>
  <c r="AE220"/>
  <c r="AF220" s="1"/>
  <c r="AH218"/>
  <c r="AI218" s="1"/>
  <c r="AA218"/>
  <c r="AB218" s="1"/>
  <c r="AA132"/>
  <c r="AB132" s="1"/>
  <c r="AH132"/>
  <c r="AI132" s="1"/>
  <c r="AE132"/>
  <c r="AF132" s="1"/>
  <c r="AE100"/>
  <c r="AF100" s="1"/>
  <c r="AA100"/>
  <c r="AB100" s="1"/>
  <c r="AH100"/>
  <c r="AI100" s="1"/>
  <c r="AB29"/>
  <c r="AA138"/>
  <c r="AB138" s="1"/>
  <c r="AA109"/>
  <c r="AA97"/>
  <c r="AB97" s="1"/>
  <c r="AA84"/>
  <c r="AB84" s="1"/>
  <c r="AA33"/>
  <c r="AB33" s="1"/>
  <c r="AE81"/>
  <c r="AF81" s="1"/>
  <c r="AE52"/>
  <c r="AF52" s="1"/>
  <c r="AH76"/>
  <c r="AI76" s="1"/>
  <c r="AH45"/>
  <c r="AI45" s="1"/>
  <c r="AX71"/>
  <c r="AY70" s="1"/>
  <c r="AX67"/>
  <c r="AX63"/>
  <c r="AY62" s="1"/>
  <c r="AX59"/>
  <c r="AX55"/>
  <c r="AX51"/>
  <c r="AX47"/>
  <c r="AX43"/>
  <c r="AX39"/>
  <c r="Y128"/>
  <c r="AA202"/>
  <c r="AB202" s="1"/>
  <c r="AD100"/>
  <c r="AX49"/>
  <c r="AY49" s="1"/>
  <c r="AX42"/>
  <c r="AA52"/>
  <c r="AB52" s="1"/>
  <c r="AE171"/>
  <c r="AF171" s="1"/>
  <c r="AA101"/>
  <c r="AB101" s="1"/>
  <c r="AA65"/>
  <c r="AB65" s="1"/>
  <c r="AC64" s="1"/>
  <c r="AE208"/>
  <c r="AF208" s="1"/>
  <c r="AE184"/>
  <c r="AF184" s="1"/>
  <c r="AE105"/>
  <c r="AF105" s="1"/>
  <c r="AE73"/>
  <c r="AF73" s="1"/>
  <c r="AD112"/>
  <c r="AM191"/>
  <c r="AM151"/>
  <c r="AX65"/>
  <c r="AY65" s="1"/>
  <c r="AA164"/>
  <c r="AB164" s="1"/>
  <c r="AH164"/>
  <c r="AI164" s="1"/>
  <c r="AH168"/>
  <c r="AI168" s="1"/>
  <c r="AE168"/>
  <c r="AF168" s="1"/>
  <c r="AH124"/>
  <c r="AI124" s="1"/>
  <c r="AA124"/>
  <c r="AB124" s="1"/>
  <c r="AH82"/>
  <c r="AI82" s="1"/>
  <c r="AJ81" s="1"/>
  <c r="AA82"/>
  <c r="AB82" s="1"/>
  <c r="AA178"/>
  <c r="AB178" s="1"/>
  <c r="AA108"/>
  <c r="AB108" s="1"/>
  <c r="AA76"/>
  <c r="AB76" s="1"/>
  <c r="AA44"/>
  <c r="AB44" s="1"/>
  <c r="AE176"/>
  <c r="AF176" s="1"/>
  <c r="AH156"/>
  <c r="AI156" s="1"/>
  <c r="AH88"/>
  <c r="AI88" s="1"/>
  <c r="AH44"/>
  <c r="AI44" s="1"/>
  <c r="AD92"/>
  <c r="Z191"/>
  <c r="AI182"/>
  <c r="AB96"/>
  <c r="AI54"/>
  <c r="AM214"/>
  <c r="AX139"/>
  <c r="AY138" s="1"/>
  <c r="AX137"/>
  <c r="AY137" s="1"/>
  <c r="AX135"/>
  <c r="AX133"/>
  <c r="AY133" s="1"/>
  <c r="AX131"/>
  <c r="AY130" s="1"/>
  <c r="AX129"/>
  <c r="AY129" s="1"/>
  <c r="AX127"/>
  <c r="AX125"/>
  <c r="AY125" s="1"/>
  <c r="AX123"/>
  <c r="AY122" s="1"/>
  <c r="AX121"/>
  <c r="AY121" s="1"/>
  <c r="AX119"/>
  <c r="AX117"/>
  <c r="AX115"/>
  <c r="AX113"/>
  <c r="AX111"/>
  <c r="AX109"/>
  <c r="AY109" s="1"/>
  <c r="AX107"/>
  <c r="AY106" s="1"/>
  <c r="AX105"/>
  <c r="AY105" s="1"/>
  <c r="AX103"/>
  <c r="AX101"/>
  <c r="AX99"/>
  <c r="AX97"/>
  <c r="AX95"/>
  <c r="AX93"/>
  <c r="AY93" s="1"/>
  <c r="AX91"/>
  <c r="AX89"/>
  <c r="AY89" s="1"/>
  <c r="AX87"/>
  <c r="AX85"/>
  <c r="AX83"/>
  <c r="AX81"/>
  <c r="AX79"/>
  <c r="AX77"/>
  <c r="AY77" s="1"/>
  <c r="AX75"/>
  <c r="AX73"/>
  <c r="AX69"/>
  <c r="AY69" s="1"/>
  <c r="AX61"/>
  <c r="AY61" s="1"/>
  <c r="AX57"/>
  <c r="AX53"/>
  <c r="AX45"/>
  <c r="AY45" s="1"/>
  <c r="AX41"/>
  <c r="AX37"/>
  <c r="AH219"/>
  <c r="AI219" s="1"/>
  <c r="AE219"/>
  <c r="AF219" s="1"/>
  <c r="AH155"/>
  <c r="AI155" s="1"/>
  <c r="AE155"/>
  <c r="AF155" s="1"/>
  <c r="AA216"/>
  <c r="AB216" s="1"/>
  <c r="AH216"/>
  <c r="AI216" s="1"/>
  <c r="AE212"/>
  <c r="AF212" s="1"/>
  <c r="AA212"/>
  <c r="AH140"/>
  <c r="AI140" s="1"/>
  <c r="AE140"/>
  <c r="AF140" s="1"/>
  <c r="AA140"/>
  <c r="AD116"/>
  <c r="AH116"/>
  <c r="AI116" s="1"/>
  <c r="AH112"/>
  <c r="AI112" s="1"/>
  <c r="AJ112" s="1"/>
  <c r="AE112"/>
  <c r="AF112" s="1"/>
  <c r="AH98"/>
  <c r="AA98"/>
  <c r="AB98" s="1"/>
  <c r="AH74"/>
  <c r="AI74" s="1"/>
  <c r="AJ73" s="1"/>
  <c r="AA74"/>
  <c r="AB74" s="1"/>
  <c r="AA56"/>
  <c r="AB56" s="1"/>
  <c r="AC56" s="1"/>
  <c r="AE56"/>
  <c r="AF56" s="1"/>
  <c r="AH200"/>
  <c r="AI200" s="1"/>
  <c r="AE200"/>
  <c r="AF200" s="1"/>
  <c r="AH128"/>
  <c r="AI128" s="1"/>
  <c r="AE128"/>
  <c r="AF128" s="1"/>
  <c r="AH114"/>
  <c r="AI114" s="1"/>
  <c r="AJ113" s="1"/>
  <c r="AA114"/>
  <c r="AB114" s="1"/>
  <c r="AH58"/>
  <c r="AI58" s="1"/>
  <c r="AA58"/>
  <c r="AB58" s="1"/>
  <c r="AC57" s="1"/>
  <c r="AX38"/>
  <c r="AY38" s="1"/>
  <c r="AX30"/>
  <c r="AY30" s="1"/>
  <c r="AA122"/>
  <c r="AI134"/>
  <c r="AI102"/>
  <c r="AI214"/>
  <c r="AI86"/>
  <c r="AX114"/>
  <c r="AX98"/>
  <c r="AY98" s="1"/>
  <c r="AX82"/>
  <c r="AH192"/>
  <c r="AI192" s="1"/>
  <c r="AE192"/>
  <c r="AF192" s="1"/>
  <c r="AH136"/>
  <c r="AI136" s="1"/>
  <c r="AE136"/>
  <c r="AF136" s="1"/>
  <c r="AH50"/>
  <c r="AI50" s="1"/>
  <c r="AA50"/>
  <c r="AB50" s="1"/>
  <c r="AH204"/>
  <c r="AI204" s="1"/>
  <c r="AE204"/>
  <c r="AF204" s="1"/>
  <c r="AA204"/>
  <c r="AE172"/>
  <c r="AF172" s="1"/>
  <c r="AA172"/>
  <c r="AB172" s="1"/>
  <c r="AA152"/>
  <c r="AB152" s="1"/>
  <c r="AH152"/>
  <c r="AH106"/>
  <c r="AI106" s="1"/>
  <c r="AJ105" s="1"/>
  <c r="AA106"/>
  <c r="AB106" s="1"/>
  <c r="AC105" s="1"/>
  <c r="AH66"/>
  <c r="AI66" s="1"/>
  <c r="AA66"/>
  <c r="AB66" s="1"/>
  <c r="AH42"/>
  <c r="AI42" s="1"/>
  <c r="AA42"/>
  <c r="AB42" s="1"/>
  <c r="AC41" s="1"/>
  <c r="AH34"/>
  <c r="AI34" s="1"/>
  <c r="AA34"/>
  <c r="AH29"/>
  <c r="AI29" s="1"/>
  <c r="AE29"/>
  <c r="AF29" s="1"/>
  <c r="AH188"/>
  <c r="AI188" s="1"/>
  <c r="AA188"/>
  <c r="AH160"/>
  <c r="AI160" s="1"/>
  <c r="AE160"/>
  <c r="AF160" s="1"/>
  <c r="AH90"/>
  <c r="AI90" s="1"/>
  <c r="AA90"/>
  <c r="AB90" s="1"/>
  <c r="AC89" s="1"/>
  <c r="AI150"/>
  <c r="AA36"/>
  <c r="AB36" s="1"/>
  <c r="AH220"/>
  <c r="AI220" s="1"/>
  <c r="AI198"/>
  <c r="AI166"/>
  <c r="AI70"/>
  <c r="AI38"/>
  <c r="AD97"/>
  <c r="AA194"/>
  <c r="AB194" s="1"/>
  <c r="AA162"/>
  <c r="AB162" s="1"/>
  <c r="AA130"/>
  <c r="AB130" s="1"/>
  <c r="AB113"/>
  <c r="AA92"/>
  <c r="AB92" s="1"/>
  <c r="AB81"/>
  <c r="AB49"/>
  <c r="AE216"/>
  <c r="AE164"/>
  <c r="AF164" s="1"/>
  <c r="AE116"/>
  <c r="AF116" s="1"/>
  <c r="AE84"/>
  <c r="AF84" s="1"/>
  <c r="AF41"/>
  <c r="AH184"/>
  <c r="AI184" s="1"/>
  <c r="AH108"/>
  <c r="AI108" s="1"/>
  <c r="AI49"/>
  <c r="AH36"/>
  <c r="AI36" s="1"/>
  <c r="AD109"/>
  <c r="AD108"/>
  <c r="AD93"/>
  <c r="AI118"/>
  <c r="AB32"/>
  <c r="AX136"/>
  <c r="AX132"/>
  <c r="AY132" s="1"/>
  <c r="AX128"/>
  <c r="AX124"/>
  <c r="AX120"/>
  <c r="AX116"/>
  <c r="AY116" s="1"/>
  <c r="AX112"/>
  <c r="AX108"/>
  <c r="AX104"/>
  <c r="AX100"/>
  <c r="AY100" s="1"/>
  <c r="AX96"/>
  <c r="AX92"/>
  <c r="AX88"/>
  <c r="AX84"/>
  <c r="AY84" s="1"/>
  <c r="AX80"/>
  <c r="AX76"/>
  <c r="AX72"/>
  <c r="AX68"/>
  <c r="AX64"/>
  <c r="AX60"/>
  <c r="AX56"/>
  <c r="AY56" s="1"/>
  <c r="AX52"/>
  <c r="AX48"/>
  <c r="AY48" s="1"/>
  <c r="AX44"/>
  <c r="AX40"/>
  <c r="AX36"/>
  <c r="AX32"/>
  <c r="AX118"/>
  <c r="AX102"/>
  <c r="AY102" s="1"/>
  <c r="AX86"/>
  <c r="AX54"/>
  <c r="AY54" s="1"/>
  <c r="AE117"/>
  <c r="AF117" s="1"/>
  <c r="AI41"/>
  <c r="AM195"/>
  <c r="AM179"/>
  <c r="AM163"/>
  <c r="AM147"/>
  <c r="AM131"/>
  <c r="Y148"/>
  <c r="Y120"/>
  <c r="AM171"/>
  <c r="AB117"/>
  <c r="AB109"/>
  <c r="AB93"/>
  <c r="AB85"/>
  <c r="AB77"/>
  <c r="AB69"/>
  <c r="AB61"/>
  <c r="AB53"/>
  <c r="AB45"/>
  <c r="AB37"/>
  <c r="AF49"/>
  <c r="AI109"/>
  <c r="AI77"/>
  <c r="AM264"/>
  <c r="AK262"/>
  <c r="AM256"/>
  <c r="AK246"/>
  <c r="AM240"/>
  <c r="AM216"/>
  <c r="AK214"/>
  <c r="AM212"/>
  <c r="AM208"/>
  <c r="AK206"/>
  <c r="AM202"/>
  <c r="AM198"/>
  <c r="AM194"/>
  <c r="AM190"/>
  <c r="AM186"/>
  <c r="AM182"/>
  <c r="AM178"/>
  <c r="AM174"/>
  <c r="AM170"/>
  <c r="AM166"/>
  <c r="AM162"/>
  <c r="AM158"/>
  <c r="AM154"/>
  <c r="AM150"/>
  <c r="AM146"/>
  <c r="AM142"/>
  <c r="AM138"/>
  <c r="AM134"/>
  <c r="AM130"/>
  <c r="AM126"/>
  <c r="AM122"/>
  <c r="AI117"/>
  <c r="AF113"/>
  <c r="AI97"/>
  <c r="AI93"/>
  <c r="AI65"/>
  <c r="AI61"/>
  <c r="AI57"/>
  <c r="AI33"/>
  <c r="Y187"/>
  <c r="Y180"/>
  <c r="Y123"/>
  <c r="AE123" s="1"/>
  <c r="AF123" s="1"/>
  <c r="AH227"/>
  <c r="AI227" s="1"/>
  <c r="AA227"/>
  <c r="AB227" s="1"/>
  <c r="AE227"/>
  <c r="AF227" s="1"/>
  <c r="AD98"/>
  <c r="AA99"/>
  <c r="AB99" s="1"/>
  <c r="AH99"/>
  <c r="AI99" s="1"/>
  <c r="AE99"/>
  <c r="AF99" s="1"/>
  <c r="AD99"/>
  <c r="AI72"/>
  <c r="AJ72" s="1"/>
  <c r="AD118"/>
  <c r="AA119"/>
  <c r="AB119" s="1"/>
  <c r="AE119"/>
  <c r="AF119" s="1"/>
  <c r="AH119"/>
  <c r="AI119" s="1"/>
  <c r="AD114"/>
  <c r="AA115"/>
  <c r="AB115" s="1"/>
  <c r="AD115"/>
  <c r="AH115"/>
  <c r="AI115" s="1"/>
  <c r="AE115"/>
  <c r="AF115" s="1"/>
  <c r="AD95"/>
  <c r="AE95"/>
  <c r="AF95" s="1"/>
  <c r="AA95"/>
  <c r="AB95" s="1"/>
  <c r="AD94"/>
  <c r="AH95"/>
  <c r="AI95" s="1"/>
  <c r="AA63"/>
  <c r="AB63" s="1"/>
  <c r="AC63" s="1"/>
  <c r="AH63"/>
  <c r="AI63" s="1"/>
  <c r="AE63"/>
  <c r="AF63" s="1"/>
  <c r="AA35"/>
  <c r="AB35" s="1"/>
  <c r="AE35"/>
  <c r="AF35" s="1"/>
  <c r="AH35"/>
  <c r="AI35" s="1"/>
  <c r="AD87"/>
  <c r="AH67"/>
  <c r="AI67" s="1"/>
  <c r="AE67"/>
  <c r="AF67" s="1"/>
  <c r="AA67"/>
  <c r="AB67" s="1"/>
  <c r="AD103"/>
  <c r="AI40"/>
  <c r="AD111"/>
  <c r="AA111"/>
  <c r="AB111" s="1"/>
  <c r="AD110"/>
  <c r="AH111"/>
  <c r="AI111" s="1"/>
  <c r="AE111"/>
  <c r="AF111" s="1"/>
  <c r="AD102"/>
  <c r="AE103"/>
  <c r="AF103" s="1"/>
  <c r="AA103"/>
  <c r="AB103" s="1"/>
  <c r="AH103"/>
  <c r="AI103" s="1"/>
  <c r="AA87"/>
  <c r="AB87" s="1"/>
  <c r="AH87"/>
  <c r="AI87" s="1"/>
  <c r="AE87"/>
  <c r="AF87" s="1"/>
  <c r="AA83"/>
  <c r="AB83" s="1"/>
  <c r="AH83"/>
  <c r="AI83" s="1"/>
  <c r="AJ83" s="1"/>
  <c r="AE83"/>
  <c r="AF83" s="1"/>
  <c r="AA79"/>
  <c r="AB79" s="1"/>
  <c r="AH79"/>
  <c r="AI79" s="1"/>
  <c r="AE79"/>
  <c r="AF79" s="1"/>
  <c r="AA71"/>
  <c r="AB71" s="1"/>
  <c r="AE71"/>
  <c r="AF71" s="1"/>
  <c r="AH71"/>
  <c r="AI71" s="1"/>
  <c r="AA55"/>
  <c r="AB55" s="1"/>
  <c r="AH55"/>
  <c r="AI55" s="1"/>
  <c r="AE55"/>
  <c r="AF55" s="1"/>
  <c r="AA51"/>
  <c r="AB51" s="1"/>
  <c r="AH51"/>
  <c r="AI51" s="1"/>
  <c r="AJ51" s="1"/>
  <c r="AE51"/>
  <c r="AF51" s="1"/>
  <c r="AA47"/>
  <c r="AB47" s="1"/>
  <c r="AH47"/>
  <c r="AI47" s="1"/>
  <c r="AE47"/>
  <c r="AF47" s="1"/>
  <c r="AH39"/>
  <c r="AI39" s="1"/>
  <c r="AE39"/>
  <c r="AF39" s="1"/>
  <c r="AA39"/>
  <c r="AB39" s="1"/>
  <c r="AE31"/>
  <c r="AF31" s="1"/>
  <c r="AA31"/>
  <c r="AB31" s="1"/>
  <c r="AH31"/>
  <c r="AI31" s="1"/>
  <c r="AB184"/>
  <c r="AD119"/>
  <c r="AH80"/>
  <c r="AI80" s="1"/>
  <c r="AJ80" s="1"/>
  <c r="AE80"/>
  <c r="AF80" s="1"/>
  <c r="AH75"/>
  <c r="AI75" s="1"/>
  <c r="AE75"/>
  <c r="AF75" s="1"/>
  <c r="AH59"/>
  <c r="AI59" s="1"/>
  <c r="AE59"/>
  <c r="AF59" s="1"/>
  <c r="AK220"/>
  <c r="Y221"/>
  <c r="AK210"/>
  <c r="AM210"/>
  <c r="AM204"/>
  <c r="Y205"/>
  <c r="AM200"/>
  <c r="Y201"/>
  <c r="AM188"/>
  <c r="Y189"/>
  <c r="AM184"/>
  <c r="Y185"/>
  <c r="AM176"/>
  <c r="Y177"/>
  <c r="AH69"/>
  <c r="AI69" s="1"/>
  <c r="AE69"/>
  <c r="AF69" s="1"/>
  <c r="AH37"/>
  <c r="AI37" s="1"/>
  <c r="AE37"/>
  <c r="AF37" s="1"/>
  <c r="AF216"/>
  <c r="AF152"/>
  <c r="AF88"/>
  <c r="AD96"/>
  <c r="AD88"/>
  <c r="AD105"/>
  <c r="AD89"/>
  <c r="Y211"/>
  <c r="AI190"/>
  <c r="Y179"/>
  <c r="AI158"/>
  <c r="Y147"/>
  <c r="AI126"/>
  <c r="AI94"/>
  <c r="AI78"/>
  <c r="AI62"/>
  <c r="AI46"/>
  <c r="AI30"/>
  <c r="AM203"/>
  <c r="AM183"/>
  <c r="AM159"/>
  <c r="AM139"/>
  <c r="AM220"/>
  <c r="AB212"/>
  <c r="AA208"/>
  <c r="AB208" s="1"/>
  <c r="AB204"/>
  <c r="AA200"/>
  <c r="AB200" s="1"/>
  <c r="AA192"/>
  <c r="AB192" s="1"/>
  <c r="AB188"/>
  <c r="AA176"/>
  <c r="AB176" s="1"/>
  <c r="AA168"/>
  <c r="AB168" s="1"/>
  <c r="AA160"/>
  <c r="AB160" s="1"/>
  <c r="AA144"/>
  <c r="AB144" s="1"/>
  <c r="AB140"/>
  <c r="AA136"/>
  <c r="AB136" s="1"/>
  <c r="AA128"/>
  <c r="AB128" s="1"/>
  <c r="AA120"/>
  <c r="AB120" s="1"/>
  <c r="AB116"/>
  <c r="AA112"/>
  <c r="AB112" s="1"/>
  <c r="AC112" s="1"/>
  <c r="AA104"/>
  <c r="AB104" s="1"/>
  <c r="AC104" s="1"/>
  <c r="AA88"/>
  <c r="AB88" s="1"/>
  <c r="AC88" s="1"/>
  <c r="AA80"/>
  <c r="AB80" s="1"/>
  <c r="AA72"/>
  <c r="AB72" s="1"/>
  <c r="AA40"/>
  <c r="AB40" s="1"/>
  <c r="AC40" s="1"/>
  <c r="AE104"/>
  <c r="AF104" s="1"/>
  <c r="AE97"/>
  <c r="AF97" s="1"/>
  <c r="AE89"/>
  <c r="AF89" s="1"/>
  <c r="AF76"/>
  <c r="AG76" s="1"/>
  <c r="AE61"/>
  <c r="AF61" s="1"/>
  <c r="AE40"/>
  <c r="AF40" s="1"/>
  <c r="AE33"/>
  <c r="AF33" s="1"/>
  <c r="AH104"/>
  <c r="AI104" s="1"/>
  <c r="AJ104" s="1"/>
  <c r="AH89"/>
  <c r="AI89" s="1"/>
  <c r="AD117"/>
  <c r="AD101"/>
  <c r="AD86"/>
  <c r="Y207"/>
  <c r="AI202"/>
  <c r="Y191"/>
  <c r="Y175"/>
  <c r="AI170"/>
  <c r="Y159"/>
  <c r="Y143"/>
  <c r="AI138"/>
  <c r="Y127"/>
  <c r="AI122"/>
  <c r="AM187"/>
  <c r="AM167"/>
  <c r="AM143"/>
  <c r="AM123"/>
  <c r="AH96"/>
  <c r="AI96" s="1"/>
  <c r="AE96"/>
  <c r="AF96" s="1"/>
  <c r="AD91"/>
  <c r="AH91"/>
  <c r="AI91" s="1"/>
  <c r="AE91"/>
  <c r="AF91" s="1"/>
  <c r="AH48"/>
  <c r="AI48" s="1"/>
  <c r="AE48"/>
  <c r="AF48" s="1"/>
  <c r="AH43"/>
  <c r="AI43" s="1"/>
  <c r="AE43"/>
  <c r="AF43" s="1"/>
  <c r="AH32"/>
  <c r="AI32" s="1"/>
  <c r="AE32"/>
  <c r="AF32" s="1"/>
  <c r="AD123"/>
  <c r="AH123"/>
  <c r="AI123" s="1"/>
  <c r="AD107"/>
  <c r="AH107"/>
  <c r="AI107" s="1"/>
  <c r="AE107"/>
  <c r="AF107" s="1"/>
  <c r="AA214"/>
  <c r="AB214" s="1"/>
  <c r="AA206"/>
  <c r="AB206" s="1"/>
  <c r="AA198"/>
  <c r="AB198" s="1"/>
  <c r="AA190"/>
  <c r="AB190" s="1"/>
  <c r="AA182"/>
  <c r="AB182" s="1"/>
  <c r="AA174"/>
  <c r="AB174" s="1"/>
  <c r="AB170"/>
  <c r="AA166"/>
  <c r="AB166" s="1"/>
  <c r="AA158"/>
  <c r="AB158" s="1"/>
  <c r="AA150"/>
  <c r="AB150" s="1"/>
  <c r="AA142"/>
  <c r="AB142" s="1"/>
  <c r="AA134"/>
  <c r="AB134" s="1"/>
  <c r="AA126"/>
  <c r="AB126" s="1"/>
  <c r="AB122"/>
  <c r="AA118"/>
  <c r="AB118" s="1"/>
  <c r="AA110"/>
  <c r="AB110" s="1"/>
  <c r="AA102"/>
  <c r="AB102" s="1"/>
  <c r="AA94"/>
  <c r="AB94" s="1"/>
  <c r="AA86"/>
  <c r="AB86" s="1"/>
  <c r="AA78"/>
  <c r="AB78" s="1"/>
  <c r="AA70"/>
  <c r="AB70" s="1"/>
  <c r="AA62"/>
  <c r="AB62" s="1"/>
  <c r="AA54"/>
  <c r="AB54" s="1"/>
  <c r="AA46"/>
  <c r="AB46" s="1"/>
  <c r="AA38"/>
  <c r="AB38" s="1"/>
  <c r="AB34"/>
  <c r="AA30"/>
  <c r="AB30" s="1"/>
  <c r="AF188"/>
  <c r="AF124"/>
  <c r="AF108"/>
  <c r="AG108" s="1"/>
  <c r="AE93"/>
  <c r="AF93" s="1"/>
  <c r="AE72"/>
  <c r="AF72" s="1"/>
  <c r="AE65"/>
  <c r="AF65" s="1"/>
  <c r="AE57"/>
  <c r="AF57" s="1"/>
  <c r="AF44"/>
  <c r="AG44" s="1"/>
  <c r="AF36"/>
  <c r="AI172"/>
  <c r="Y215"/>
  <c r="Y199"/>
  <c r="AI194"/>
  <c r="Y183"/>
  <c r="AI178"/>
  <c r="Y167"/>
  <c r="AI162"/>
  <c r="Y151"/>
  <c r="Y135"/>
  <c r="AI130"/>
  <c r="AI98"/>
  <c r="AM199"/>
  <c r="AM175"/>
  <c r="AM155"/>
  <c r="AM135"/>
  <c r="AM206"/>
  <c r="AH64"/>
  <c r="AI64" s="1"/>
  <c r="AE64"/>
  <c r="AF64" s="1"/>
  <c r="AK218"/>
  <c r="AM218"/>
  <c r="AK216"/>
  <c r="Y217"/>
  <c r="AK212"/>
  <c r="Y213"/>
  <c r="AK208"/>
  <c r="Y209"/>
  <c r="AM196"/>
  <c r="Y197"/>
  <c r="AM192"/>
  <c r="Y193"/>
  <c r="AM180"/>
  <c r="Y181"/>
  <c r="AM172"/>
  <c r="Y173"/>
  <c r="AM168"/>
  <c r="Y169"/>
  <c r="AM164"/>
  <c r="Y165"/>
  <c r="AM160"/>
  <c r="Y161"/>
  <c r="AM156"/>
  <c r="Y157"/>
  <c r="AM152"/>
  <c r="Y153"/>
  <c r="AM148"/>
  <c r="Y149"/>
  <c r="AM144"/>
  <c r="Y145"/>
  <c r="AM140"/>
  <c r="Y141"/>
  <c r="AM136"/>
  <c r="Y137"/>
  <c r="AM132"/>
  <c r="Y133"/>
  <c r="AM128"/>
  <c r="Y129"/>
  <c r="AD128" s="1"/>
  <c r="AM124"/>
  <c r="Y125"/>
  <c r="AM120"/>
  <c r="Y121"/>
  <c r="AD121" s="1"/>
  <c r="AH101"/>
  <c r="AI101" s="1"/>
  <c r="AE101"/>
  <c r="AF101" s="1"/>
  <c r="AH85"/>
  <c r="AI85" s="1"/>
  <c r="AE85"/>
  <c r="AF85" s="1"/>
  <c r="AH53"/>
  <c r="AI53" s="1"/>
  <c r="AE53"/>
  <c r="AF53" s="1"/>
  <c r="AI56"/>
  <c r="AA219"/>
  <c r="AB219" s="1"/>
  <c r="AA203"/>
  <c r="AB203" s="1"/>
  <c r="AA187"/>
  <c r="AB187" s="1"/>
  <c r="AA171"/>
  <c r="AB171" s="1"/>
  <c r="AA155"/>
  <c r="AB155" s="1"/>
  <c r="AA139"/>
  <c r="AB139" s="1"/>
  <c r="AA123"/>
  <c r="AB123" s="1"/>
  <c r="AA107"/>
  <c r="AB107" s="1"/>
  <c r="AA91"/>
  <c r="AB91" s="1"/>
  <c r="AA75"/>
  <c r="AB75" s="1"/>
  <c r="AA59"/>
  <c r="AB59" s="1"/>
  <c r="AA43"/>
  <c r="AB43" s="1"/>
  <c r="AC43" s="1"/>
  <c r="AI152"/>
  <c r="AD104"/>
  <c r="AI206"/>
  <c r="Y195"/>
  <c r="AI174"/>
  <c r="Y163"/>
  <c r="AI142"/>
  <c r="Y131"/>
  <c r="AI110"/>
  <c r="AM219"/>
  <c r="AK219"/>
  <c r="AM217"/>
  <c r="AK217"/>
  <c r="AM215"/>
  <c r="AK215"/>
  <c r="AM213"/>
  <c r="AK213"/>
  <c r="AM211"/>
  <c r="AK211"/>
  <c r="AM209"/>
  <c r="AK209"/>
  <c r="AM207"/>
  <c r="AK207"/>
  <c r="AM205"/>
  <c r="AK205"/>
  <c r="AK267"/>
  <c r="AK259"/>
  <c r="AK251"/>
  <c r="AK243"/>
  <c r="AM201"/>
  <c r="AM197"/>
  <c r="AM193"/>
  <c r="AM189"/>
  <c r="AM185"/>
  <c r="AM181"/>
  <c r="AM177"/>
  <c r="AM173"/>
  <c r="AM169"/>
  <c r="AM165"/>
  <c r="AM161"/>
  <c r="AM157"/>
  <c r="AM153"/>
  <c r="AM149"/>
  <c r="AM145"/>
  <c r="AM141"/>
  <c r="AM137"/>
  <c r="AM133"/>
  <c r="AM129"/>
  <c r="AM125"/>
  <c r="AM121"/>
  <c r="AH226"/>
  <c r="AI226" s="1"/>
  <c r="AA226"/>
  <c r="AB226" s="1"/>
  <c r="AE223"/>
  <c r="AF223" s="1"/>
  <c r="AA223"/>
  <c r="AB223" s="1"/>
  <c r="AH223"/>
  <c r="AI223" s="1"/>
  <c r="Y268"/>
  <c r="Y263"/>
  <c r="Y252"/>
  <c r="Y247"/>
  <c r="Y646"/>
  <c r="AM251"/>
  <c r="AK265"/>
  <c r="AM265"/>
  <c r="AK263"/>
  <c r="AM263"/>
  <c r="AK261"/>
  <c r="AM261"/>
  <c r="AK257"/>
  <c r="AM257"/>
  <c r="AK255"/>
  <c r="AM255"/>
  <c r="AK253"/>
  <c r="AM253"/>
  <c r="AK249"/>
  <c r="AM249"/>
  <c r="AK247"/>
  <c r="AM247"/>
  <c r="AK245"/>
  <c r="AM245"/>
  <c r="AK241"/>
  <c r="AM241"/>
  <c r="AK239"/>
  <c r="AM239"/>
  <c r="AK237"/>
  <c r="AM237"/>
  <c r="AK235"/>
  <c r="AM235"/>
  <c r="AK233"/>
  <c r="AM233"/>
  <c r="AK231"/>
  <c r="AM231"/>
  <c r="AK229"/>
  <c r="AM229"/>
  <c r="AK227"/>
  <c r="AM227"/>
  <c r="AK225"/>
  <c r="AM225"/>
  <c r="AK223"/>
  <c r="AM223"/>
  <c r="AK221"/>
  <c r="AM221"/>
  <c r="Y640"/>
  <c r="Y636"/>
  <c r="Y632"/>
  <c r="Y628"/>
  <c r="Y624"/>
  <c r="Y264"/>
  <c r="Y254"/>
  <c r="Y248"/>
  <c r="Y238"/>
  <c r="Y232"/>
  <c r="Y222"/>
  <c r="AK254"/>
  <c r="AM243"/>
  <c r="Y649"/>
  <c r="Y645"/>
  <c r="T51"/>
  <c r="Y266"/>
  <c r="Y260"/>
  <c r="Y250"/>
  <c r="Y244"/>
  <c r="Y234"/>
  <c r="Y228"/>
  <c r="Y637"/>
  <c r="Y629"/>
  <c r="Y648"/>
  <c r="AM267"/>
  <c r="AK268"/>
  <c r="Y269"/>
  <c r="AM268"/>
  <c r="AM266"/>
  <c r="AK266"/>
  <c r="Y265"/>
  <c r="AK264"/>
  <c r="AK260"/>
  <c r="Y261"/>
  <c r="AM260"/>
  <c r="AM258"/>
  <c r="AK258"/>
  <c r="Y257"/>
  <c r="AK256"/>
  <c r="AK252"/>
  <c r="Y253"/>
  <c r="AM252"/>
  <c r="AM250"/>
  <c r="AK250"/>
  <c r="Y249"/>
  <c r="AK248"/>
  <c r="AK244"/>
  <c r="Y245"/>
  <c r="AM244"/>
  <c r="AM242"/>
  <c r="AK242"/>
  <c r="Y241"/>
  <c r="AK240"/>
  <c r="AM238"/>
  <c r="AK238"/>
  <c r="AK236"/>
  <c r="Y237"/>
  <c r="AM236"/>
  <c r="AM234"/>
  <c r="AK234"/>
  <c r="Y233"/>
  <c r="AM232"/>
  <c r="AK232"/>
  <c r="AM230"/>
  <c r="AK230"/>
  <c r="AK228"/>
  <c r="Y229"/>
  <c r="AM228"/>
  <c r="AM226"/>
  <c r="AK226"/>
  <c r="Y225"/>
  <c r="AM224"/>
  <c r="AK224"/>
  <c r="AM222"/>
  <c r="AK222"/>
  <c r="Y642"/>
  <c r="Y638"/>
  <c r="Y634"/>
  <c r="Y630"/>
  <c r="Y626"/>
  <c r="AM262"/>
  <c r="AM254"/>
  <c r="AM246"/>
  <c r="Y267"/>
  <c r="Y262"/>
  <c r="Y256"/>
  <c r="Y251"/>
  <c r="Y246"/>
  <c r="Y240"/>
  <c r="Y235"/>
  <c r="Y230"/>
  <c r="Y224"/>
  <c r="Y644"/>
  <c r="AM259"/>
  <c r="AM248"/>
  <c r="AD122"/>
  <c r="AD106"/>
  <c r="AD90"/>
  <c r="AE226"/>
  <c r="AF226" s="1"/>
  <c r="AE222"/>
  <c r="AF222" s="1"/>
  <c r="AE218"/>
  <c r="AF218" s="1"/>
  <c r="AE214"/>
  <c r="AF214" s="1"/>
  <c r="AE210"/>
  <c r="AF210" s="1"/>
  <c r="AE206"/>
  <c r="AF206" s="1"/>
  <c r="AE202"/>
  <c r="AF202" s="1"/>
  <c r="AE198"/>
  <c r="AF198" s="1"/>
  <c r="AE194"/>
  <c r="AF194" s="1"/>
  <c r="AE190"/>
  <c r="AF190" s="1"/>
  <c r="AE186"/>
  <c r="AF186" s="1"/>
  <c r="AE182"/>
  <c r="AF182" s="1"/>
  <c r="AE178"/>
  <c r="AF178" s="1"/>
  <c r="AE174"/>
  <c r="AF174" s="1"/>
  <c r="AE170"/>
  <c r="AF170" s="1"/>
  <c r="AE166"/>
  <c r="AF166" s="1"/>
  <c r="AE162"/>
  <c r="AF162" s="1"/>
  <c r="AE158"/>
  <c r="AF158" s="1"/>
  <c r="AE154"/>
  <c r="AF154" s="1"/>
  <c r="AE150"/>
  <c r="AF150" s="1"/>
  <c r="AE146"/>
  <c r="AF146" s="1"/>
  <c r="AE142"/>
  <c r="AF142" s="1"/>
  <c r="AE138"/>
  <c r="AF138" s="1"/>
  <c r="AE134"/>
  <c r="AF134" s="1"/>
  <c r="AE130"/>
  <c r="AF130" s="1"/>
  <c r="AE126"/>
  <c r="AF126" s="1"/>
  <c r="AE122"/>
  <c r="AF122" s="1"/>
  <c r="AE118"/>
  <c r="AF118" s="1"/>
  <c r="AE114"/>
  <c r="AF114" s="1"/>
  <c r="AE110"/>
  <c r="AF110" s="1"/>
  <c r="AE106"/>
  <c r="AF106" s="1"/>
  <c r="AE102"/>
  <c r="AF102" s="1"/>
  <c r="AE98"/>
  <c r="AF98" s="1"/>
  <c r="AE94"/>
  <c r="AF94" s="1"/>
  <c r="AE90"/>
  <c r="AF90" s="1"/>
  <c r="AE86"/>
  <c r="AF86" s="1"/>
  <c r="AE82"/>
  <c r="AF82" s="1"/>
  <c r="AE78"/>
  <c r="AF78" s="1"/>
  <c r="AE74"/>
  <c r="AF74" s="1"/>
  <c r="AE70"/>
  <c r="AF70" s="1"/>
  <c r="AE66"/>
  <c r="AF66" s="1"/>
  <c r="AE62"/>
  <c r="AF62" s="1"/>
  <c r="AE58"/>
  <c r="AF58" s="1"/>
  <c r="AE54"/>
  <c r="AF54" s="1"/>
  <c r="AE50"/>
  <c r="AF50" s="1"/>
  <c r="AE46"/>
  <c r="AF46" s="1"/>
  <c r="AE42"/>
  <c r="AF42" s="1"/>
  <c r="AE38"/>
  <c r="AF38" s="1"/>
  <c r="AE34"/>
  <c r="AF34" s="1"/>
  <c r="AE30"/>
  <c r="AF30" s="1"/>
  <c r="AI171"/>
  <c r="AC48"/>
  <c r="AC47"/>
  <c r="AC56" i="8" l="1"/>
  <c r="AC83"/>
  <c r="AC57"/>
  <c r="AC65"/>
  <c r="AC117"/>
  <c r="AC113"/>
  <c r="AC105"/>
  <c r="AC62"/>
  <c r="AC80"/>
  <c r="AC94"/>
  <c r="AC102"/>
  <c r="AC37"/>
  <c r="AC109"/>
  <c r="AC93"/>
  <c r="AC66"/>
  <c r="AC97"/>
  <c r="AC40"/>
  <c r="AC43"/>
  <c r="AC90"/>
  <c r="AC73"/>
  <c r="AC54"/>
  <c r="AC49"/>
  <c r="AC75"/>
  <c r="AC204"/>
  <c r="AC183"/>
  <c r="AC162"/>
  <c r="AC36"/>
  <c r="AC203"/>
  <c r="AC112"/>
  <c r="AC104"/>
  <c r="AC60"/>
  <c r="AC107"/>
  <c r="AC33"/>
  <c r="AC34"/>
  <c r="AC169"/>
  <c r="AC167"/>
  <c r="Z197"/>
  <c r="AB143"/>
  <c r="AC142" s="1"/>
  <c r="AC111"/>
  <c r="AC29"/>
  <c r="AC84"/>
  <c r="AC115"/>
  <c r="AC101"/>
  <c r="AC91"/>
  <c r="AC39"/>
  <c r="AC126"/>
  <c r="Z187"/>
  <c r="Z162"/>
  <c r="AC89"/>
  <c r="AC182"/>
  <c r="AC158"/>
  <c r="AC118"/>
  <c r="AC52"/>
  <c r="AC55"/>
  <c r="Z199"/>
  <c r="Z170"/>
  <c r="Z155"/>
  <c r="AC127"/>
  <c r="AB188"/>
  <c r="AC181"/>
  <c r="Z136"/>
  <c r="AC99"/>
  <c r="AC98"/>
  <c r="AC82"/>
  <c r="AC72"/>
  <c r="AC51"/>
  <c r="AC41"/>
  <c r="AB192"/>
  <c r="AC192" s="1"/>
  <c r="Z183"/>
  <c r="AC81"/>
  <c r="AC30"/>
  <c r="AC132"/>
  <c r="AC100"/>
  <c r="AC53"/>
  <c r="AC45"/>
  <c r="AC42"/>
  <c r="Z158"/>
  <c r="Z203"/>
  <c r="AC139"/>
  <c r="AC154"/>
  <c r="AC85"/>
  <c r="AC63"/>
  <c r="AC68"/>
  <c r="AC164"/>
  <c r="AC116"/>
  <c r="AC108"/>
  <c r="AC103"/>
  <c r="AC87"/>
  <c r="AC76"/>
  <c r="AC47"/>
  <c r="Z150"/>
  <c r="Z181"/>
  <c r="AC110"/>
  <c r="Z196"/>
  <c r="Z154"/>
  <c r="AC96"/>
  <c r="AC88"/>
  <c r="AC71"/>
  <c r="AC78"/>
  <c r="AC31"/>
  <c r="AC199"/>
  <c r="AC114"/>
  <c r="AC106"/>
  <c r="AC50"/>
  <c r="AC44"/>
  <c r="AC74"/>
  <c r="AC67"/>
  <c r="AC58"/>
  <c r="AC35"/>
  <c r="Z163"/>
  <c r="Z164"/>
  <c r="Z168"/>
  <c r="Z169"/>
  <c r="Z198"/>
  <c r="Z151"/>
  <c r="W578"/>
  <c r="W520"/>
  <c r="W512"/>
  <c r="W426"/>
  <c r="W409"/>
  <c r="W610"/>
  <c r="W546"/>
  <c r="W530"/>
  <c r="W491"/>
  <c r="W475"/>
  <c r="W459"/>
  <c r="W447"/>
  <c r="W439"/>
  <c r="W431"/>
  <c r="W544"/>
  <c r="W576"/>
  <c r="W540"/>
  <c r="W500"/>
  <c r="W480"/>
  <c r="W464"/>
  <c r="W448"/>
  <c r="W419"/>
  <c r="W412"/>
  <c r="W403"/>
  <c r="W496"/>
  <c r="W379"/>
  <c r="W425"/>
  <c r="W372"/>
  <c r="AA161"/>
  <c r="AB161" s="1"/>
  <c r="AC161" s="1"/>
  <c r="X161"/>
  <c r="Y161" s="1"/>
  <c r="Z161" s="1"/>
  <c r="W355"/>
  <c r="W341"/>
  <c r="AA201"/>
  <c r="AB201" s="1"/>
  <c r="AC200" s="1"/>
  <c r="X201"/>
  <c r="Y201" s="1"/>
  <c r="Z200" s="1"/>
  <c r="AA189"/>
  <c r="AB189" s="1"/>
  <c r="X189"/>
  <c r="Y189" s="1"/>
  <c r="Z188" s="1"/>
  <c r="Y147"/>
  <c r="Z147" s="1"/>
  <c r="W349"/>
  <c r="AA185"/>
  <c r="AB185" s="1"/>
  <c r="AC184" s="1"/>
  <c r="X185"/>
  <c r="Y185" s="1"/>
  <c r="Z184" s="1"/>
  <c r="AA160"/>
  <c r="AB160" s="1"/>
  <c r="AC159" s="1"/>
  <c r="X160"/>
  <c r="Y160" s="1"/>
  <c r="AA125"/>
  <c r="AB125" s="1"/>
  <c r="AC125" s="1"/>
  <c r="X125"/>
  <c r="Y125" s="1"/>
  <c r="AA123"/>
  <c r="AB123" s="1"/>
  <c r="AC122" s="1"/>
  <c r="X123"/>
  <c r="Y123" s="1"/>
  <c r="AA145"/>
  <c r="AB145" s="1"/>
  <c r="AC144" s="1"/>
  <c r="X145"/>
  <c r="Y145" s="1"/>
  <c r="Z145" s="1"/>
  <c r="W389"/>
  <c r="AG9"/>
  <c r="AG10"/>
  <c r="Y192"/>
  <c r="Z192" s="1"/>
  <c r="AC92"/>
  <c r="AC79"/>
  <c r="AC95"/>
  <c r="AC59"/>
  <c r="AC46"/>
  <c r="W602"/>
  <c r="W570"/>
  <c r="W414"/>
  <c r="W612"/>
  <c r="W495"/>
  <c r="W479"/>
  <c r="W463"/>
  <c r="W528"/>
  <c r="W616"/>
  <c r="W600"/>
  <c r="W568"/>
  <c r="W504"/>
  <c r="W484"/>
  <c r="W468"/>
  <c r="W452"/>
  <c r="W515"/>
  <c r="W440"/>
  <c r="W421"/>
  <c r="W410"/>
  <c r="W397"/>
  <c r="W444"/>
  <c r="X195"/>
  <c r="Y195" s="1"/>
  <c r="Z195" s="1"/>
  <c r="AA195"/>
  <c r="AB195" s="1"/>
  <c r="AC195" s="1"/>
  <c r="W392"/>
  <c r="W385"/>
  <c r="W371"/>
  <c r="W339"/>
  <c r="W428"/>
  <c r="AA179"/>
  <c r="AB179" s="1"/>
  <c r="AC179" s="1"/>
  <c r="X179"/>
  <c r="Y179" s="1"/>
  <c r="Z179" s="1"/>
  <c r="W365"/>
  <c r="X178"/>
  <c r="Y178" s="1"/>
  <c r="AA178"/>
  <c r="AB178" s="1"/>
  <c r="AA129"/>
  <c r="AB129" s="1"/>
  <c r="AC128" s="1"/>
  <c r="X129"/>
  <c r="Y129" s="1"/>
  <c r="Y143"/>
  <c r="Z143" s="1"/>
  <c r="Y131"/>
  <c r="Z131" s="1"/>
  <c r="Z180"/>
  <c r="AC135"/>
  <c r="AC163"/>
  <c r="AC32"/>
  <c r="AC61"/>
  <c r="AC48"/>
  <c r="W594"/>
  <c r="W562"/>
  <c r="W536"/>
  <c r="W524"/>
  <c r="W516"/>
  <c r="W508"/>
  <c r="W618"/>
  <c r="W548"/>
  <c r="W532"/>
  <c r="W499"/>
  <c r="W483"/>
  <c r="W467"/>
  <c r="W451"/>
  <c r="W443"/>
  <c r="W435"/>
  <c r="W592"/>
  <c r="W560"/>
  <c r="W519"/>
  <c r="W503"/>
  <c r="W488"/>
  <c r="W472"/>
  <c r="W456"/>
  <c r="W432"/>
  <c r="W511"/>
  <c r="W436"/>
  <c r="W348"/>
  <c r="W424"/>
  <c r="AA202"/>
  <c r="AB202" s="1"/>
  <c r="AC202" s="1"/>
  <c r="X202"/>
  <c r="Y202" s="1"/>
  <c r="AA191"/>
  <c r="AB191" s="1"/>
  <c r="X191"/>
  <c r="Y191" s="1"/>
  <c r="W356"/>
  <c r="AA157"/>
  <c r="AB157" s="1"/>
  <c r="AC157" s="1"/>
  <c r="X157"/>
  <c r="Y157" s="1"/>
  <c r="Z157" s="1"/>
  <c r="W416"/>
  <c r="W408"/>
  <c r="W380"/>
  <c r="W340"/>
  <c r="AA194"/>
  <c r="AB194" s="1"/>
  <c r="AC193" s="1"/>
  <c r="X194"/>
  <c r="Y194" s="1"/>
  <c r="Z193" s="1"/>
  <c r="W400"/>
  <c r="W381"/>
  <c r="W369"/>
  <c r="W361"/>
  <c r="AA149"/>
  <c r="AB149" s="1"/>
  <c r="AC148" s="1"/>
  <c r="X149"/>
  <c r="Y149" s="1"/>
  <c r="Z149" s="1"/>
  <c r="AA141"/>
  <c r="AB141" s="1"/>
  <c r="AC140" s="1"/>
  <c r="X141"/>
  <c r="Y141" s="1"/>
  <c r="Z141" s="1"/>
  <c r="AA134"/>
  <c r="AB134" s="1"/>
  <c r="AC134" s="1"/>
  <c r="X134"/>
  <c r="Y134" s="1"/>
  <c r="Z134" s="1"/>
  <c r="AA190"/>
  <c r="AB190" s="1"/>
  <c r="AC189" s="1"/>
  <c r="X190"/>
  <c r="Y190" s="1"/>
  <c r="W353"/>
  <c r="AA186"/>
  <c r="AB186" s="1"/>
  <c r="AC186" s="1"/>
  <c r="X186"/>
  <c r="Y186" s="1"/>
  <c r="Z186" s="1"/>
  <c r="AA166"/>
  <c r="AB166" s="1"/>
  <c r="AC166" s="1"/>
  <c r="X166"/>
  <c r="Y166" s="1"/>
  <c r="Z166" s="1"/>
  <c r="AA153"/>
  <c r="AB153" s="1"/>
  <c r="AC153" s="1"/>
  <c r="X153"/>
  <c r="Y153" s="1"/>
  <c r="Z153" s="1"/>
  <c r="AA138"/>
  <c r="AB138" s="1"/>
  <c r="AC137" s="1"/>
  <c r="X138"/>
  <c r="Y138" s="1"/>
  <c r="Z137" s="1"/>
  <c r="AA130"/>
  <c r="AB130" s="1"/>
  <c r="AC130" s="1"/>
  <c r="X130"/>
  <c r="Y130" s="1"/>
  <c r="AC168"/>
  <c r="AC197"/>
  <c r="AC70"/>
  <c r="AC77"/>
  <c r="AC69"/>
  <c r="W586"/>
  <c r="W554"/>
  <c r="W405"/>
  <c r="W604"/>
  <c r="W596"/>
  <c r="W588"/>
  <c r="W580"/>
  <c r="W572"/>
  <c r="W564"/>
  <c r="W556"/>
  <c r="W487"/>
  <c r="W471"/>
  <c r="W455"/>
  <c r="W608"/>
  <c r="W584"/>
  <c r="W552"/>
  <c r="W538"/>
  <c r="W507"/>
  <c r="W492"/>
  <c r="W476"/>
  <c r="W460"/>
  <c r="W393"/>
  <c r="Z205"/>
  <c r="AA176"/>
  <c r="AB176" s="1"/>
  <c r="AC175" s="1"/>
  <c r="X176"/>
  <c r="Y176" s="1"/>
  <c r="Z176" s="1"/>
  <c r="AA172"/>
  <c r="AB172" s="1"/>
  <c r="AC172" s="1"/>
  <c r="X172"/>
  <c r="Y172" s="1"/>
  <c r="Z172" s="1"/>
  <c r="W364"/>
  <c r="W384"/>
  <c r="W363"/>
  <c r="W377"/>
  <c r="X120"/>
  <c r="Y120" s="1"/>
  <c r="AA120"/>
  <c r="AB120" s="1"/>
  <c r="AC119" s="1"/>
  <c r="W357"/>
  <c r="W345"/>
  <c r="X174"/>
  <c r="Y174" s="1"/>
  <c r="Z173" s="1"/>
  <c r="AA174"/>
  <c r="AB174" s="1"/>
  <c r="AC174" s="1"/>
  <c r="W373"/>
  <c r="W347"/>
  <c r="Y139"/>
  <c r="Z139" s="1"/>
  <c r="AC151"/>
  <c r="AB147"/>
  <c r="AC131"/>
  <c r="AS39" i="5"/>
  <c r="AS56"/>
  <c r="AS72"/>
  <c r="AT54"/>
  <c r="AT43" i="1"/>
  <c r="AT75"/>
  <c r="W274"/>
  <c r="W278"/>
  <c r="W282"/>
  <c r="W286"/>
  <c r="W290"/>
  <c r="W294"/>
  <c r="W298"/>
  <c r="W302"/>
  <c r="W306"/>
  <c r="W310"/>
  <c r="W314"/>
  <c r="W318"/>
  <c r="W322"/>
  <c r="W326"/>
  <c r="W330"/>
  <c r="W334"/>
  <c r="W338"/>
  <c r="W342"/>
  <c r="W346"/>
  <c r="W350"/>
  <c r="W354"/>
  <c r="W358"/>
  <c r="W362"/>
  <c r="W366"/>
  <c r="W370"/>
  <c r="W374"/>
  <c r="W378"/>
  <c r="W382"/>
  <c r="W386"/>
  <c r="W390"/>
  <c r="W394"/>
  <c r="W398"/>
  <c r="W402"/>
  <c r="W406"/>
  <c r="W410"/>
  <c r="W414"/>
  <c r="W418"/>
  <c r="W422"/>
  <c r="W426"/>
  <c r="W430"/>
  <c r="W434"/>
  <c r="W438"/>
  <c r="W442"/>
  <c r="W446"/>
  <c r="W450"/>
  <c r="W454"/>
  <c r="W458"/>
  <c r="W462"/>
  <c r="W466"/>
  <c r="W470"/>
  <c r="W474"/>
  <c r="W478"/>
  <c r="W482"/>
  <c r="W486"/>
  <c r="W490"/>
  <c r="W494"/>
  <c r="W498"/>
  <c r="W502"/>
  <c r="W506"/>
  <c r="W510"/>
  <c r="W514"/>
  <c r="W518"/>
  <c r="W522"/>
  <c r="W526"/>
  <c r="W530"/>
  <c r="W534"/>
  <c r="W538"/>
  <c r="W542"/>
  <c r="W546"/>
  <c r="W550"/>
  <c r="W554"/>
  <c r="W558"/>
  <c r="W562"/>
  <c r="W566"/>
  <c r="W570"/>
  <c r="W574"/>
  <c r="W578"/>
  <c r="W582"/>
  <c r="W586"/>
  <c r="W590"/>
  <c r="W594"/>
  <c r="W598"/>
  <c r="W602"/>
  <c r="W606"/>
  <c r="W610"/>
  <c r="W614"/>
  <c r="W618"/>
  <c r="W622"/>
  <c r="W626"/>
  <c r="W630"/>
  <c r="W634"/>
  <c r="W638"/>
  <c r="W642"/>
  <c r="W646"/>
  <c r="W270"/>
  <c r="W273"/>
  <c r="W277"/>
  <c r="W281"/>
  <c r="W285"/>
  <c r="W289"/>
  <c r="W293"/>
  <c r="W297"/>
  <c r="W301"/>
  <c r="W305"/>
  <c r="W309"/>
  <c r="W313"/>
  <c r="W317"/>
  <c r="W321"/>
  <c r="W325"/>
  <c r="W329"/>
  <c r="W333"/>
  <c r="W337"/>
  <c r="W341"/>
  <c r="W345"/>
  <c r="W349"/>
  <c r="W353"/>
  <c r="W357"/>
  <c r="W361"/>
  <c r="W365"/>
  <c r="W369"/>
  <c r="W373"/>
  <c r="W377"/>
  <c r="W381"/>
  <c r="W385"/>
  <c r="W389"/>
  <c r="W393"/>
  <c r="W397"/>
  <c r="W401"/>
  <c r="W405"/>
  <c r="W409"/>
  <c r="W413"/>
  <c r="W417"/>
  <c r="W421"/>
  <c r="W425"/>
  <c r="W429"/>
  <c r="W433"/>
  <c r="W437"/>
  <c r="W441"/>
  <c r="W445"/>
  <c r="W449"/>
  <c r="W453"/>
  <c r="W457"/>
  <c r="W461"/>
  <c r="W465"/>
  <c r="W469"/>
  <c r="W473"/>
  <c r="W477"/>
  <c r="W481"/>
  <c r="W485"/>
  <c r="W489"/>
  <c r="W493"/>
  <c r="W497"/>
  <c r="W501"/>
  <c r="W505"/>
  <c r="W509"/>
  <c r="W513"/>
  <c r="W517"/>
  <c r="W521"/>
  <c r="W525"/>
  <c r="W529"/>
  <c r="W533"/>
  <c r="W537"/>
  <c r="W541"/>
  <c r="W545"/>
  <c r="W549"/>
  <c r="W553"/>
  <c r="W557"/>
  <c r="W561"/>
  <c r="W565"/>
  <c r="W569"/>
  <c r="W573"/>
  <c r="W577"/>
  <c r="W581"/>
  <c r="W585"/>
  <c r="W589"/>
  <c r="W593"/>
  <c r="W597"/>
  <c r="W601"/>
  <c r="W605"/>
  <c r="W609"/>
  <c r="W613"/>
  <c r="W617"/>
  <c r="W621"/>
  <c r="W625"/>
  <c r="W629"/>
  <c r="W633"/>
  <c r="W637"/>
  <c r="W641"/>
  <c r="W645"/>
  <c r="W649"/>
  <c r="W272"/>
  <c r="W276"/>
  <c r="W280"/>
  <c r="W284"/>
  <c r="W288"/>
  <c r="W292"/>
  <c r="W296"/>
  <c r="W300"/>
  <c r="W304"/>
  <c r="W308"/>
  <c r="W312"/>
  <c r="W316"/>
  <c r="W320"/>
  <c r="W324"/>
  <c r="W328"/>
  <c r="W332"/>
  <c r="W336"/>
  <c r="W340"/>
  <c r="W344"/>
  <c r="W348"/>
  <c r="W352"/>
  <c r="W356"/>
  <c r="W360"/>
  <c r="W364"/>
  <c r="W368"/>
  <c r="W372"/>
  <c r="W376"/>
  <c r="W380"/>
  <c r="W384"/>
  <c r="W388"/>
  <c r="W392"/>
  <c r="W396"/>
  <c r="W400"/>
  <c r="W404"/>
  <c r="W408"/>
  <c r="W412"/>
  <c r="W416"/>
  <c r="W420"/>
  <c r="W424"/>
  <c r="W428"/>
  <c r="W432"/>
  <c r="W436"/>
  <c r="W440"/>
  <c r="W444"/>
  <c r="W448"/>
  <c r="W452"/>
  <c r="W456"/>
  <c r="W460"/>
  <c r="W464"/>
  <c r="W468"/>
  <c r="W472"/>
  <c r="W476"/>
  <c r="W480"/>
  <c r="W484"/>
  <c r="W488"/>
  <c r="W492"/>
  <c r="W496"/>
  <c r="W500"/>
  <c r="W504"/>
  <c r="W508"/>
  <c r="W512"/>
  <c r="W516"/>
  <c r="W520"/>
  <c r="W524"/>
  <c r="W528"/>
  <c r="W532"/>
  <c r="W536"/>
  <c r="W540"/>
  <c r="W544"/>
  <c r="W548"/>
  <c r="W552"/>
  <c r="W556"/>
  <c r="W560"/>
  <c r="W564"/>
  <c r="W568"/>
  <c r="W572"/>
  <c r="W576"/>
  <c r="W580"/>
  <c r="W584"/>
  <c r="W588"/>
  <c r="W592"/>
  <c r="W596"/>
  <c r="W600"/>
  <c r="W604"/>
  <c r="W608"/>
  <c r="W612"/>
  <c r="W616"/>
  <c r="W620"/>
  <c r="W624"/>
  <c r="W628"/>
  <c r="W632"/>
  <c r="W636"/>
  <c r="W640"/>
  <c r="W644"/>
  <c r="W648"/>
  <c r="W271"/>
  <c r="W275"/>
  <c r="W279"/>
  <c r="W283"/>
  <c r="W287"/>
  <c r="W291"/>
  <c r="W295"/>
  <c r="W299"/>
  <c r="W303"/>
  <c r="W307"/>
  <c r="W311"/>
  <c r="W315"/>
  <c r="W319"/>
  <c r="W323"/>
  <c r="W327"/>
  <c r="W331"/>
  <c r="W335"/>
  <c r="W339"/>
  <c r="W343"/>
  <c r="W347"/>
  <c r="W351"/>
  <c r="W355"/>
  <c r="W359"/>
  <c r="W363"/>
  <c r="W367"/>
  <c r="W371"/>
  <c r="W375"/>
  <c r="W379"/>
  <c r="W383"/>
  <c r="W387"/>
  <c r="W391"/>
  <c r="W395"/>
  <c r="W399"/>
  <c r="W403"/>
  <c r="W407"/>
  <c r="W411"/>
  <c r="W415"/>
  <c r="W419"/>
  <c r="W423"/>
  <c r="W427"/>
  <c r="W431"/>
  <c r="W435"/>
  <c r="W439"/>
  <c r="W443"/>
  <c r="W447"/>
  <c r="W451"/>
  <c r="W455"/>
  <c r="W459"/>
  <c r="W463"/>
  <c r="W467"/>
  <c r="W471"/>
  <c r="W475"/>
  <c r="W479"/>
  <c r="W483"/>
  <c r="W487"/>
  <c r="W491"/>
  <c r="W495"/>
  <c r="W499"/>
  <c r="W503"/>
  <c r="W507"/>
  <c r="W511"/>
  <c r="W515"/>
  <c r="W519"/>
  <c r="W523"/>
  <c r="W527"/>
  <c r="W531"/>
  <c r="W535"/>
  <c r="W539"/>
  <c r="W543"/>
  <c r="W547"/>
  <c r="W551"/>
  <c r="W555"/>
  <c r="W559"/>
  <c r="W563"/>
  <c r="W567"/>
  <c r="W571"/>
  <c r="W575"/>
  <c r="W579"/>
  <c r="W583"/>
  <c r="W587"/>
  <c r="W591"/>
  <c r="W595"/>
  <c r="W599"/>
  <c r="W603"/>
  <c r="W607"/>
  <c r="W611"/>
  <c r="W615"/>
  <c r="W619"/>
  <c r="W623"/>
  <c r="W627"/>
  <c r="W631"/>
  <c r="W635"/>
  <c r="W639"/>
  <c r="W643"/>
  <c r="W647"/>
  <c r="AL135" i="6"/>
  <c r="AL92"/>
  <c r="AL63"/>
  <c r="AO77"/>
  <c r="AO62"/>
  <c r="AL108"/>
  <c r="AO70"/>
  <c r="AO78"/>
  <c r="AO32"/>
  <c r="AO40"/>
  <c r="AO48"/>
  <c r="AO116"/>
  <c r="AL133"/>
  <c r="AL37"/>
  <c r="AL30"/>
  <c r="AO54"/>
  <c r="AO132"/>
  <c r="AO120"/>
  <c r="AO34"/>
  <c r="AO50"/>
  <c r="AO123"/>
  <c r="AO101"/>
  <c r="AO30"/>
  <c r="AL123"/>
  <c r="AL129"/>
  <c r="AL102"/>
  <c r="AL56"/>
  <c r="AL42"/>
  <c r="AL58"/>
  <c r="AL130"/>
  <c r="AL36"/>
  <c r="AO100"/>
  <c r="AO71"/>
  <c r="AO52"/>
  <c r="AL122"/>
  <c r="AL88"/>
  <c r="AO122"/>
  <c r="AO74"/>
  <c r="AO85"/>
  <c r="AO66"/>
  <c r="AO92"/>
  <c r="AO47"/>
  <c r="AO44"/>
  <c r="AO60"/>
  <c r="AL105"/>
  <c r="AL106"/>
  <c r="AL116"/>
  <c r="AO127"/>
  <c r="AO65"/>
  <c r="AO129"/>
  <c r="AO46"/>
  <c r="AO126"/>
  <c r="AL81"/>
  <c r="AO111"/>
  <c r="AO93"/>
  <c r="AO72"/>
  <c r="AO110"/>
  <c r="AC82"/>
  <c r="AC29"/>
  <c r="AL45"/>
  <c r="AO36"/>
  <c r="AO91"/>
  <c r="AO69"/>
  <c r="AO81"/>
  <c r="AO104"/>
  <c r="AF44"/>
  <c r="AO84"/>
  <c r="AO136"/>
  <c r="AO56"/>
  <c r="AO88"/>
  <c r="AC122"/>
  <c r="AF57"/>
  <c r="AF108"/>
  <c r="AF96"/>
  <c r="AF84"/>
  <c r="AF62"/>
  <c r="AF31"/>
  <c r="AF87"/>
  <c r="AF67"/>
  <c r="AF98"/>
  <c r="AF47"/>
  <c r="AF85"/>
  <c r="AC78"/>
  <c r="AC49"/>
  <c r="AC32"/>
  <c r="AC132"/>
  <c r="AF128"/>
  <c r="AC99"/>
  <c r="AF36"/>
  <c r="AC126"/>
  <c r="AF99"/>
  <c r="AC87"/>
  <c r="AF51"/>
  <c r="AF110"/>
  <c r="AF73"/>
  <c r="AF64"/>
  <c r="AF60"/>
  <c r="AC38"/>
  <c r="AF104"/>
  <c r="AC92"/>
  <c r="AL59"/>
  <c r="AL84"/>
  <c r="AL76"/>
  <c r="AL35"/>
  <c r="AL117"/>
  <c r="AL34"/>
  <c r="AL99"/>
  <c r="AL78"/>
  <c r="AL70"/>
  <c r="AL62"/>
  <c r="AL44"/>
  <c r="AL29"/>
  <c r="AC74"/>
  <c r="AC47"/>
  <c r="AC76"/>
  <c r="AF126"/>
  <c r="AL96"/>
  <c r="AC115"/>
  <c r="AF56"/>
  <c r="AL39"/>
  <c r="AL118"/>
  <c r="AF53"/>
  <c r="AF41"/>
  <c r="AL124"/>
  <c r="AC104"/>
  <c r="AC100"/>
  <c r="AF39"/>
  <c r="AC97"/>
  <c r="AC83"/>
  <c r="AF32"/>
  <c r="AC34"/>
  <c r="AC50"/>
  <c r="AF112"/>
  <c r="AC128"/>
  <c r="AC106"/>
  <c r="AF38"/>
  <c r="AC117"/>
  <c r="AF75"/>
  <c r="AC59"/>
  <c r="AC67"/>
  <c r="AL47"/>
  <c r="AL48"/>
  <c r="AL125"/>
  <c r="AL83"/>
  <c r="AL79"/>
  <c r="AL75"/>
  <c r="AL71"/>
  <c r="AL67"/>
  <c r="AL38"/>
  <c r="AL43"/>
  <c r="AL107"/>
  <c r="AL72"/>
  <c r="AL68"/>
  <c r="AL31"/>
  <c r="AL101"/>
  <c r="AL121"/>
  <c r="AL128"/>
  <c r="AL132"/>
  <c r="AF109"/>
  <c r="AF37"/>
  <c r="AF101"/>
  <c r="AF83"/>
  <c r="AC105"/>
  <c r="AF48"/>
  <c r="AF118"/>
  <c r="AF106"/>
  <c r="AC95"/>
  <c r="AC73"/>
  <c r="AC65"/>
  <c r="AF89"/>
  <c r="AC31"/>
  <c r="AC127"/>
  <c r="AC123"/>
  <c r="AF90"/>
  <c r="AF76"/>
  <c r="AF70"/>
  <c r="AF68"/>
  <c r="AC56"/>
  <c r="AC53"/>
  <c r="AC52"/>
  <c r="AF103"/>
  <c r="AC109"/>
  <c r="AF50"/>
  <c r="AF43"/>
  <c r="AF35"/>
  <c r="AF92"/>
  <c r="AC44"/>
  <c r="AC37"/>
  <c r="AF88"/>
  <c r="AC48"/>
  <c r="AF79"/>
  <c r="AF145"/>
  <c r="AF107"/>
  <c r="AC119"/>
  <c r="AF63"/>
  <c r="AF86"/>
  <c r="AC72"/>
  <c r="AC64"/>
  <c r="AC36"/>
  <c r="AC30"/>
  <c r="AC125"/>
  <c r="AF132"/>
  <c r="AC112"/>
  <c r="AF124"/>
  <c r="AF120"/>
  <c r="AC101"/>
  <c r="AF78"/>
  <c r="AF71"/>
  <c r="AF111"/>
  <c r="AF105"/>
  <c r="AF30"/>
  <c r="AF100"/>
  <c r="AC69"/>
  <c r="AC61"/>
  <c r="AF40"/>
  <c r="AF55"/>
  <c r="AF52"/>
  <c r="AC41"/>
  <c r="AC121"/>
  <c r="AF142"/>
  <c r="AC107"/>
  <c r="AF114"/>
  <c r="AF125"/>
  <c r="AF121"/>
  <c r="AC116"/>
  <c r="AC94"/>
  <c r="AC86"/>
  <c r="AF81"/>
  <c r="AF80"/>
  <c r="AF59"/>
  <c r="AC111"/>
  <c r="AF46"/>
  <c r="AC45"/>
  <c r="F16"/>
  <c r="F15"/>
  <c r="AL97"/>
  <c r="AL98"/>
  <c r="AK9"/>
  <c r="AK10"/>
  <c r="AD152"/>
  <c r="AE152" s="1"/>
  <c r="AF151" s="1"/>
  <c r="AA152"/>
  <c r="AB152" s="1"/>
  <c r="AC124"/>
  <c r="AC120"/>
  <c r="AL109"/>
  <c r="AF95"/>
  <c r="AC55"/>
  <c r="AC110"/>
  <c r="AL113"/>
  <c r="AL53"/>
  <c r="AC98"/>
  <c r="AL86"/>
  <c r="AC84"/>
  <c r="AL85"/>
  <c r="AC33"/>
  <c r="AL52"/>
  <c r="AF66"/>
  <c r="AC54"/>
  <c r="AD153"/>
  <c r="AE153" s="1"/>
  <c r="AA153"/>
  <c r="AB153" s="1"/>
  <c r="AA149"/>
  <c r="AB149" s="1"/>
  <c r="AD149"/>
  <c r="AE149" s="1"/>
  <c r="AF148" s="1"/>
  <c r="AD134"/>
  <c r="AE134" s="1"/>
  <c r="AF133" s="1"/>
  <c r="AA134"/>
  <c r="AB134" s="1"/>
  <c r="AC133" s="1"/>
  <c r="AA135"/>
  <c r="AB135" s="1"/>
  <c r="AD135"/>
  <c r="AE135" s="1"/>
  <c r="AL120"/>
  <c r="AC114"/>
  <c r="AL126"/>
  <c r="AE136"/>
  <c r="AF136" s="1"/>
  <c r="AF119"/>
  <c r="AF117"/>
  <c r="AL100"/>
  <c r="AL93"/>
  <c r="AF77"/>
  <c r="AF69"/>
  <c r="AF61"/>
  <c r="AL41"/>
  <c r="AL55"/>
  <c r="AC81"/>
  <c r="AC79"/>
  <c r="AC77"/>
  <c r="AC75"/>
  <c r="AC93"/>
  <c r="AF82"/>
  <c r="AC39"/>
  <c r="AA147"/>
  <c r="AB147" s="1"/>
  <c r="AD147"/>
  <c r="AE147" s="1"/>
  <c r="AF146" s="1"/>
  <c r="AA131"/>
  <c r="AB131" s="1"/>
  <c r="AC131" s="1"/>
  <c r="AD131"/>
  <c r="AE131" s="1"/>
  <c r="AF131" s="1"/>
  <c r="AD138"/>
  <c r="AE138" s="1"/>
  <c r="AF138" s="1"/>
  <c r="AA138"/>
  <c r="AB138" s="1"/>
  <c r="AC138" s="1"/>
  <c r="AF153"/>
  <c r="AB136"/>
  <c r="AC136" s="1"/>
  <c r="AL137"/>
  <c r="AF127"/>
  <c r="AF123"/>
  <c r="AC51"/>
  <c r="AF33"/>
  <c r="AC43"/>
  <c r="AF74"/>
  <c r="AF49"/>
  <c r="AF54"/>
  <c r="AD144"/>
  <c r="AE144" s="1"/>
  <c r="AF144" s="1"/>
  <c r="AA144"/>
  <c r="AB144" s="1"/>
  <c r="AD141"/>
  <c r="AE141" s="1"/>
  <c r="AF140" s="1"/>
  <c r="AA141"/>
  <c r="AB141" s="1"/>
  <c r="AD130"/>
  <c r="AE130" s="1"/>
  <c r="AA130"/>
  <c r="AB130" s="1"/>
  <c r="AB155"/>
  <c r="AL136"/>
  <c r="AC57"/>
  <c r="AC103"/>
  <c r="AC102"/>
  <c r="AF94"/>
  <c r="AC91"/>
  <c r="BT210" i="5"/>
  <c r="BT157"/>
  <c r="BD115"/>
  <c r="BD111"/>
  <c r="BT107"/>
  <c r="BT47"/>
  <c r="BT40"/>
  <c r="BD53"/>
  <c r="BT70"/>
  <c r="BT79"/>
  <c r="BT128"/>
  <c r="BT196"/>
  <c r="BT278"/>
  <c r="BD139"/>
  <c r="BT73"/>
  <c r="BT45"/>
  <c r="BD36"/>
  <c r="BT201"/>
  <c r="BT265"/>
  <c r="BT261"/>
  <c r="BT257"/>
  <c r="BT218"/>
  <c r="BD154"/>
  <c r="BT209"/>
  <c r="BT150"/>
  <c r="BT61"/>
  <c r="BT244"/>
  <c r="BT253"/>
  <c r="BT269"/>
  <c r="BT221"/>
  <c r="BD152"/>
  <c r="BD40"/>
  <c r="BT52"/>
  <c r="BT67"/>
  <c r="BT50"/>
  <c r="BT84"/>
  <c r="BD47"/>
  <c r="BD70"/>
  <c r="BD131"/>
  <c r="BD162"/>
  <c r="BT224"/>
  <c r="BT213"/>
  <c r="BD110"/>
  <c r="BD74"/>
  <c r="BT39"/>
  <c r="BT43"/>
  <c r="BD72"/>
  <c r="BT228"/>
  <c r="BT215"/>
  <c r="BT171"/>
  <c r="BD114"/>
  <c r="BT163"/>
  <c r="BD48"/>
  <c r="BD32"/>
  <c r="BT78"/>
  <c r="BT37"/>
  <c r="BX108"/>
  <c r="BX53"/>
  <c r="BO180"/>
  <c r="BO171"/>
  <c r="BO141"/>
  <c r="BO225"/>
  <c r="AY113"/>
  <c r="BX80"/>
  <c r="BX143"/>
  <c r="BX140"/>
  <c r="BX137"/>
  <c r="BO56"/>
  <c r="BX52"/>
  <c r="BO47"/>
  <c r="BO31"/>
  <c r="AY69"/>
  <c r="BX86"/>
  <c r="BX48"/>
  <c r="BX69"/>
  <c r="BO238"/>
  <c r="BO232"/>
  <c r="BO166"/>
  <c r="BO242"/>
  <c r="BO129"/>
  <c r="BO216"/>
  <c r="BO187"/>
  <c r="BO150"/>
  <c r="BX124"/>
  <c r="AY81"/>
  <c r="BX132"/>
  <c r="BX127"/>
  <c r="BX126"/>
  <c r="BO124"/>
  <c r="BO39"/>
  <c r="AY32"/>
  <c r="BX98"/>
  <c r="BO60"/>
  <c r="AY50"/>
  <c r="BO270"/>
  <c r="BO240"/>
  <c r="BO274"/>
  <c r="BO214"/>
  <c r="BO231"/>
  <c r="BO195"/>
  <c r="BO189"/>
  <c r="BX149"/>
  <c r="BO146"/>
  <c r="BX141"/>
  <c r="BO148"/>
  <c r="BO139"/>
  <c r="BX107"/>
  <c r="BO72"/>
  <c r="BO64"/>
  <c r="BX43"/>
  <c r="BO85"/>
  <c r="AY47"/>
  <c r="AY57"/>
  <c r="AY40"/>
  <c r="BX79"/>
  <c r="BO106"/>
  <c r="BO98"/>
  <c r="BO68"/>
  <c r="BX61"/>
  <c r="BX44"/>
  <c r="AK290"/>
  <c r="AM400"/>
  <c r="AM380"/>
  <c r="AM348"/>
  <c r="AM336"/>
  <c r="AM385"/>
  <c r="AM369"/>
  <c r="AM361"/>
  <c r="AM353"/>
  <c r="AK383"/>
  <c r="AM525"/>
  <c r="AM357"/>
  <c r="AK341"/>
  <c r="AK362"/>
  <c r="AK471"/>
  <c r="AK399"/>
  <c r="AK289"/>
  <c r="AK273"/>
  <c r="AM270"/>
  <c r="AM477"/>
  <c r="AM449"/>
  <c r="AK339"/>
  <c r="AM559"/>
  <c r="AM370"/>
  <c r="AM362"/>
  <c r="AM413"/>
  <c r="AK389"/>
  <c r="AK317"/>
  <c r="AK380"/>
  <c r="AM273"/>
  <c r="AM451"/>
  <c r="AM441"/>
  <c r="AK434"/>
  <c r="AK470"/>
  <c r="AM409"/>
  <c r="AM386"/>
  <c r="AK369"/>
  <c r="AK361"/>
  <c r="AM589"/>
  <c r="AK525"/>
  <c r="AM303"/>
  <c r="AM422"/>
  <c r="AK357"/>
  <c r="AM333"/>
  <c r="AK370"/>
  <c r="AM304"/>
  <c r="AK465"/>
  <c r="AK303"/>
  <c r="AK431"/>
  <c r="Z319"/>
  <c r="AK284"/>
  <c r="AK279"/>
  <c r="AK296"/>
  <c r="AK291"/>
  <c r="AM274"/>
  <c r="U29"/>
  <c r="BJ133"/>
  <c r="AT81"/>
  <c r="AT40"/>
  <c r="AT123"/>
  <c r="AT33"/>
  <c r="AT49"/>
  <c r="AT62"/>
  <c r="AT78"/>
  <c r="AT129"/>
  <c r="AT124"/>
  <c r="AT74"/>
  <c r="AT36"/>
  <c r="AT130"/>
  <c r="AT37"/>
  <c r="AT44"/>
  <c r="AT98"/>
  <c r="AT69"/>
  <c r="AT61"/>
  <c r="AT53"/>
  <c r="AM542"/>
  <c r="AM628"/>
  <c r="AK605"/>
  <c r="AK557"/>
  <c r="AK541"/>
  <c r="AK626"/>
  <c r="AM562"/>
  <c r="AK547"/>
  <c r="AK538"/>
  <c r="AM515"/>
  <c r="AM576"/>
  <c r="AK330"/>
  <c r="AM326"/>
  <c r="AM623"/>
  <c r="AM591"/>
  <c r="AK535"/>
  <c r="AM503"/>
  <c r="AM469"/>
  <c r="AM596"/>
  <c r="AM500"/>
  <c r="AK492"/>
  <c r="AK642"/>
  <c r="AM626"/>
  <c r="AK611"/>
  <c r="AM578"/>
  <c r="AM547"/>
  <c r="AK523"/>
  <c r="AM491"/>
  <c r="AK397"/>
  <c r="AK396"/>
  <c r="AK441"/>
  <c r="AM608"/>
  <c r="AM512"/>
  <c r="AK460"/>
  <c r="AK606"/>
  <c r="AM605"/>
  <c r="AM564"/>
  <c r="AM557"/>
  <c r="AM541"/>
  <c r="AM492"/>
  <c r="AK602"/>
  <c r="AK579"/>
  <c r="AK515"/>
  <c r="AM498"/>
  <c r="AM640"/>
  <c r="AK438"/>
  <c r="AM366"/>
  <c r="AK346"/>
  <c r="AM433"/>
  <c r="AK462"/>
  <c r="AM388"/>
  <c r="AK623"/>
  <c r="AM606"/>
  <c r="AK591"/>
  <c r="AM574"/>
  <c r="AK542"/>
  <c r="AM535"/>
  <c r="AK503"/>
  <c r="AM401"/>
  <c r="AM377"/>
  <c r="AK644"/>
  <c r="AK589"/>
  <c r="AM524"/>
  <c r="AK508"/>
  <c r="AK493"/>
  <c r="AM493"/>
  <c r="AK415"/>
  <c r="AK634"/>
  <c r="AM611"/>
  <c r="AM579"/>
  <c r="AK562"/>
  <c r="AM546"/>
  <c r="AM523"/>
  <c r="AM490"/>
  <c r="AK474"/>
  <c r="AK413"/>
  <c r="AK381"/>
  <c r="AM467"/>
  <c r="AK348"/>
  <c r="AK468"/>
  <c r="AM544"/>
  <c r="AK520"/>
  <c r="AC228"/>
  <c r="AJ228"/>
  <c r="AM319"/>
  <c r="AM287"/>
  <c r="AK288"/>
  <c r="AA162"/>
  <c r="AB162" s="1"/>
  <c r="AC162" s="1"/>
  <c r="AE162"/>
  <c r="AF162" s="1"/>
  <c r="AG162" s="1"/>
  <c r="AH162"/>
  <c r="AI162" s="1"/>
  <c r="AJ162" s="1"/>
  <c r="AC184"/>
  <c r="AG136"/>
  <c r="AG124"/>
  <c r="AC118"/>
  <c r="AC114"/>
  <c r="AC168"/>
  <c r="AC167"/>
  <c r="AG50"/>
  <c r="AJ48"/>
  <c r="AJ32"/>
  <c r="AJ99"/>
  <c r="AT86"/>
  <c r="AT90"/>
  <c r="AT94"/>
  <c r="AT102"/>
  <c r="AT106"/>
  <c r="AT51"/>
  <c r="AT111"/>
  <c r="AT115"/>
  <c r="AT122"/>
  <c r="AC106"/>
  <c r="AJ70"/>
  <c r="AC101"/>
  <c r="AG78"/>
  <c r="AJ30"/>
  <c r="AT41"/>
  <c r="AJ94"/>
  <c r="AJ35"/>
  <c r="AG73"/>
  <c r="AT82"/>
  <c r="AC220"/>
  <c r="AJ199"/>
  <c r="AG171"/>
  <c r="AG168"/>
  <c r="AJ181"/>
  <c r="AJ175"/>
  <c r="AJ84"/>
  <c r="AG127"/>
  <c r="AJ47"/>
  <c r="AJ31"/>
  <c r="AC98"/>
  <c r="AC90"/>
  <c r="AJ80"/>
  <c r="AF130"/>
  <c r="AG130" s="1"/>
  <c r="AC62"/>
  <c r="AJ68"/>
  <c r="AJ189"/>
  <c r="AG183"/>
  <c r="AC158"/>
  <c r="AC151"/>
  <c r="AJ130"/>
  <c r="AC79"/>
  <c r="AC104"/>
  <c r="AJ76"/>
  <c r="AT88"/>
  <c r="AT92"/>
  <c r="AT96"/>
  <c r="AT100"/>
  <c r="AT104"/>
  <c r="AT108"/>
  <c r="AT39"/>
  <c r="AT72"/>
  <c r="AT113"/>
  <c r="AT117"/>
  <c r="AC94"/>
  <c r="AC54"/>
  <c r="AG37"/>
  <c r="AJ96"/>
  <c r="AG39"/>
  <c r="AC102"/>
  <c r="AJ62"/>
  <c r="AG87"/>
  <c r="AJ52"/>
  <c r="AG32"/>
  <c r="AJ194"/>
  <c r="AC144"/>
  <c r="AC124"/>
  <c r="AG181"/>
  <c r="AG114"/>
  <c r="AC99"/>
  <c r="AC87"/>
  <c r="AC78"/>
  <c r="AC29"/>
  <c r="AG49"/>
  <c r="AG41"/>
  <c r="AG33"/>
  <c r="AG70"/>
  <c r="AG29"/>
  <c r="AC93"/>
  <c r="AJ79"/>
  <c r="AG40"/>
  <c r="AG103"/>
  <c r="AJ43"/>
  <c r="AT56"/>
  <c r="AS134"/>
  <c r="AS138"/>
  <c r="AT50"/>
  <c r="AT45"/>
  <c r="AT29"/>
  <c r="AS35"/>
  <c r="AT35" s="1"/>
  <c r="AS68"/>
  <c r="AT68" s="1"/>
  <c r="AT73"/>
  <c r="AT89"/>
  <c r="AT93"/>
  <c r="AC180"/>
  <c r="AC179"/>
  <c r="BD126"/>
  <c r="BD125"/>
  <c r="BD82"/>
  <c r="BD83"/>
  <c r="AC40"/>
  <c r="AC39"/>
  <c r="AC212"/>
  <c r="AC92"/>
  <c r="AC82"/>
  <c r="BJ166"/>
  <c r="BJ167"/>
  <c r="AC47"/>
  <c r="AC48"/>
  <c r="AC200"/>
  <c r="AC199"/>
  <c r="AC148"/>
  <c r="AC147"/>
  <c r="AC73"/>
  <c r="AC72"/>
  <c r="AC85"/>
  <c r="AC84"/>
  <c r="AC77"/>
  <c r="AC76"/>
  <c r="AC56"/>
  <c r="AC57"/>
  <c r="AC32"/>
  <c r="AC31"/>
  <c r="AC116"/>
  <c r="AC112"/>
  <c r="AC143"/>
  <c r="AC105"/>
  <c r="AC152"/>
  <c r="AC70"/>
  <c r="Z464"/>
  <c r="AM464"/>
  <c r="Z458"/>
  <c r="AM458"/>
  <c r="Z398"/>
  <c r="AK398"/>
  <c r="AE225"/>
  <c r="AF225" s="1"/>
  <c r="AG225" s="1"/>
  <c r="AA225"/>
  <c r="AB225" s="1"/>
  <c r="AH225"/>
  <c r="AI225" s="1"/>
  <c r="AJ225" s="1"/>
  <c r="AE222"/>
  <c r="AF222" s="1"/>
  <c r="AG221" s="1"/>
  <c r="AG222"/>
  <c r="AH222"/>
  <c r="AI222" s="1"/>
  <c r="AJ221" s="1"/>
  <c r="AA222"/>
  <c r="AB222" s="1"/>
  <c r="AC221" s="1"/>
  <c r="AE209"/>
  <c r="AF209" s="1"/>
  <c r="AA209"/>
  <c r="AB209" s="1"/>
  <c r="AH209"/>
  <c r="AI209" s="1"/>
  <c r="AE206"/>
  <c r="AF206" s="1"/>
  <c r="AG206" s="1"/>
  <c r="AH206"/>
  <c r="AI206" s="1"/>
  <c r="AA206"/>
  <c r="AB206" s="1"/>
  <c r="AC205" s="1"/>
  <c r="Z294"/>
  <c r="AM294"/>
  <c r="Z278"/>
  <c r="AE161"/>
  <c r="AF161" s="1"/>
  <c r="AG161"/>
  <c r="AH161"/>
  <c r="AI161" s="1"/>
  <c r="AJ161" s="1"/>
  <c r="AA161"/>
  <c r="AB161" s="1"/>
  <c r="AC161" s="1"/>
  <c r="AH150"/>
  <c r="AI150" s="1"/>
  <c r="AJ149"/>
  <c r="AA150"/>
  <c r="AB150" s="1"/>
  <c r="AE150"/>
  <c r="AF150" s="1"/>
  <c r="AG149" s="1"/>
  <c r="AC149"/>
  <c r="AH142"/>
  <c r="AI142" s="1"/>
  <c r="AJ141" s="1"/>
  <c r="AA142"/>
  <c r="AB142" s="1"/>
  <c r="AE142"/>
  <c r="AF142" s="1"/>
  <c r="AG141" s="1"/>
  <c r="AC141"/>
  <c r="Z350"/>
  <c r="AK350"/>
  <c r="Z475"/>
  <c r="AM475"/>
  <c r="Z427"/>
  <c r="AM427"/>
  <c r="Z411"/>
  <c r="AM411"/>
  <c r="Z399"/>
  <c r="AM399"/>
  <c r="Z391"/>
  <c r="AM391"/>
  <c r="Z382"/>
  <c r="AK382"/>
  <c r="Z466"/>
  <c r="AM466"/>
  <c r="Z440"/>
  <c r="AM440"/>
  <c r="Z422"/>
  <c r="AK422"/>
  <c r="AE166"/>
  <c r="AF166" s="1"/>
  <c r="AH166"/>
  <c r="AI166" s="1"/>
  <c r="AA166"/>
  <c r="AB166" s="1"/>
  <c r="AG166"/>
  <c r="BO157"/>
  <c r="BO156"/>
  <c r="Z375"/>
  <c r="AM375"/>
  <c r="Z367"/>
  <c r="AM367"/>
  <c r="Z339"/>
  <c r="AM339"/>
  <c r="Z335"/>
  <c r="AM335"/>
  <c r="AE227"/>
  <c r="AF227" s="1"/>
  <c r="AG227" s="1"/>
  <c r="AA227"/>
  <c r="AB227" s="1"/>
  <c r="AC226" s="1"/>
  <c r="AH227"/>
  <c r="AI227" s="1"/>
  <c r="AJ227" s="1"/>
  <c r="AE170"/>
  <c r="AF170" s="1"/>
  <c r="AG169" s="1"/>
  <c r="AH170"/>
  <c r="AI170" s="1"/>
  <c r="AJ169" s="1"/>
  <c r="AA170"/>
  <c r="AB170" s="1"/>
  <c r="AC170" s="1"/>
  <c r="AE157"/>
  <c r="AF157" s="1"/>
  <c r="AG157" s="1"/>
  <c r="AA157"/>
  <c r="AB157" s="1"/>
  <c r="AC156" s="1"/>
  <c r="AH157"/>
  <c r="AI157" s="1"/>
  <c r="AJ157" s="1"/>
  <c r="AJ156"/>
  <c r="AE217"/>
  <c r="AF217" s="1"/>
  <c r="AG217" s="1"/>
  <c r="AH217"/>
  <c r="AI217" s="1"/>
  <c r="AJ217" s="1"/>
  <c r="AA217"/>
  <c r="AB217" s="1"/>
  <c r="AC217" s="1"/>
  <c r="AE214"/>
  <c r="AF214" s="1"/>
  <c r="AG213" s="1"/>
  <c r="AH214"/>
  <c r="AI214" s="1"/>
  <c r="AJ214" s="1"/>
  <c r="AA214"/>
  <c r="AB214" s="1"/>
  <c r="AC214" s="1"/>
  <c r="Z298"/>
  <c r="AM298"/>
  <c r="Z290"/>
  <c r="AM290"/>
  <c r="Z374"/>
  <c r="AK374"/>
  <c r="AI137"/>
  <c r="AB137"/>
  <c r="AI133"/>
  <c r="AB133"/>
  <c r="Z289"/>
  <c r="AM289"/>
  <c r="Z281"/>
  <c r="AM281"/>
  <c r="AH140"/>
  <c r="AI140" s="1"/>
  <c r="AJ140" s="1"/>
  <c r="AE140"/>
  <c r="AF140" s="1"/>
  <c r="AG140" s="1"/>
  <c r="AA140"/>
  <c r="AB140" s="1"/>
  <c r="AC140" s="1"/>
  <c r="Z300"/>
  <c r="AM300"/>
  <c r="Z292"/>
  <c r="AM292"/>
  <c r="Z291"/>
  <c r="AM291"/>
  <c r="Z283"/>
  <c r="Z275"/>
  <c r="AM633"/>
  <c r="AM601"/>
  <c r="AK569"/>
  <c r="AM569"/>
  <c r="AK537"/>
  <c r="AM537"/>
  <c r="AK505"/>
  <c r="AM505"/>
  <c r="AC225"/>
  <c r="AG192"/>
  <c r="AC107"/>
  <c r="AC95"/>
  <c r="AC91"/>
  <c r="AJ83"/>
  <c r="AC88"/>
  <c r="AM647"/>
  <c r="AM457"/>
  <c r="AK458"/>
  <c r="AK454"/>
  <c r="AM372"/>
  <c r="AM356"/>
  <c r="AM340"/>
  <c r="AK411"/>
  <c r="AK646"/>
  <c r="AK638"/>
  <c r="AM630"/>
  <c r="AM598"/>
  <c r="AK574"/>
  <c r="AM566"/>
  <c r="AM534"/>
  <c r="AK527"/>
  <c r="AM527"/>
  <c r="AK510"/>
  <c r="AM502"/>
  <c r="AK495"/>
  <c r="AM495"/>
  <c r="AK478"/>
  <c r="AK467"/>
  <c r="AK455"/>
  <c r="AK391"/>
  <c r="AK352"/>
  <c r="AK628"/>
  <c r="AM620"/>
  <c r="AK613"/>
  <c r="AM613"/>
  <c r="AK596"/>
  <c r="AM588"/>
  <c r="AK581"/>
  <c r="AM581"/>
  <c r="AK564"/>
  <c r="AM556"/>
  <c r="AK549"/>
  <c r="AM549"/>
  <c r="AK532"/>
  <c r="AK517"/>
  <c r="AM517"/>
  <c r="AK500"/>
  <c r="AK485"/>
  <c r="AM485"/>
  <c r="AM307"/>
  <c r="AM618"/>
  <c r="AK594"/>
  <c r="AM586"/>
  <c r="AM554"/>
  <c r="AK530"/>
  <c r="AM522"/>
  <c r="AK498"/>
  <c r="AK483"/>
  <c r="AM483"/>
  <c r="AM398"/>
  <c r="AM350"/>
  <c r="AK445"/>
  <c r="BO249"/>
  <c r="AK372"/>
  <c r="AK323"/>
  <c r="AK297"/>
  <c r="AK293"/>
  <c r="AK433"/>
  <c r="AK378"/>
  <c r="AK356"/>
  <c r="AK648"/>
  <c r="AK640"/>
  <c r="AM632"/>
  <c r="AK625"/>
  <c r="AM625"/>
  <c r="AK608"/>
  <c r="AM600"/>
  <c r="AK593"/>
  <c r="AM593"/>
  <c r="AK576"/>
  <c r="AM568"/>
  <c r="AK561"/>
  <c r="AM561"/>
  <c r="AK544"/>
  <c r="AM536"/>
  <c r="AK529"/>
  <c r="AM529"/>
  <c r="AK512"/>
  <c r="AM504"/>
  <c r="AK497"/>
  <c r="AM497"/>
  <c r="AK480"/>
  <c r="AK305"/>
  <c r="BO235"/>
  <c r="BT235"/>
  <c r="AC183"/>
  <c r="BT241"/>
  <c r="AG135"/>
  <c r="AJ209"/>
  <c r="AG209"/>
  <c r="AC206"/>
  <c r="BT177"/>
  <c r="BJ162"/>
  <c r="BX146"/>
  <c r="AB193"/>
  <c r="AC193" s="1"/>
  <c r="BT226"/>
  <c r="BJ172"/>
  <c r="BD158"/>
  <c r="BJ137"/>
  <c r="AC125"/>
  <c r="BT184"/>
  <c r="BT170"/>
  <c r="BJ168"/>
  <c r="AC150"/>
  <c r="AC142"/>
  <c r="BT193"/>
  <c r="AG180"/>
  <c r="AC163"/>
  <c r="BO143"/>
  <c r="AG144"/>
  <c r="BO137"/>
  <c r="BO133"/>
  <c r="BO132"/>
  <c r="AJ150"/>
  <c r="AJ119"/>
  <c r="AJ117"/>
  <c r="AJ115"/>
  <c r="AJ113"/>
  <c r="AJ111"/>
  <c r="AJ166"/>
  <c r="AJ167"/>
  <c r="BO95"/>
  <c r="AC86"/>
  <c r="AC65"/>
  <c r="BX60"/>
  <c r="AC45"/>
  <c r="BJ36"/>
  <c r="AJ103"/>
  <c r="AJ87"/>
  <c r="BX84"/>
  <c r="BX76"/>
  <c r="AG74"/>
  <c r="BD73"/>
  <c r="BT72"/>
  <c r="AY68"/>
  <c r="AG66"/>
  <c r="BD65"/>
  <c r="BT64"/>
  <c r="AG58"/>
  <c r="BD57"/>
  <c r="BT56"/>
  <c r="AY52"/>
  <c r="AJ42"/>
  <c r="AJ40"/>
  <c r="AJ34"/>
  <c r="AS85"/>
  <c r="AT85" s="1"/>
  <c r="AT97"/>
  <c r="AT101"/>
  <c r="AT105"/>
  <c r="AT109"/>
  <c r="AS43"/>
  <c r="AT43" s="1"/>
  <c r="AS60"/>
  <c r="AT60" s="1"/>
  <c r="AS76"/>
  <c r="AS135"/>
  <c r="AS139"/>
  <c r="AT138" s="1"/>
  <c r="AT114"/>
  <c r="AT118"/>
  <c r="AG86"/>
  <c r="BJ82"/>
  <c r="AY73"/>
  <c r="BT69"/>
  <c r="AJ38"/>
  <c r="AB122"/>
  <c r="AC121" s="1"/>
  <c r="AY77"/>
  <c r="BJ75"/>
  <c r="AG80"/>
  <c r="AY84"/>
  <c r="BT76"/>
  <c r="AY66"/>
  <c r="BD64"/>
  <c r="AY58"/>
  <c r="BD56"/>
  <c r="AG107"/>
  <c r="BO100"/>
  <c r="BX96"/>
  <c r="AG91"/>
  <c r="BT81"/>
  <c r="BJ71"/>
  <c r="BJ63"/>
  <c r="BJ55"/>
  <c r="BO52"/>
  <c r="BJ46"/>
  <c r="BO43"/>
  <c r="BJ38"/>
  <c r="BO35"/>
  <c r="Z366"/>
  <c r="AK366"/>
  <c r="AI136"/>
  <c r="AJ136" s="1"/>
  <c r="AB136"/>
  <c r="Z295"/>
  <c r="AM295"/>
  <c r="Z270"/>
  <c r="AK269"/>
  <c r="AK270"/>
  <c r="AK477"/>
  <c r="Z477"/>
  <c r="Z419"/>
  <c r="AM419"/>
  <c r="Z406"/>
  <c r="AK406"/>
  <c r="Z395"/>
  <c r="AM395"/>
  <c r="Z387"/>
  <c r="AM387"/>
  <c r="AM476"/>
  <c r="Z476"/>
  <c r="Z450"/>
  <c r="AM450"/>
  <c r="Z442"/>
  <c r="AM442"/>
  <c r="Z434"/>
  <c r="AM434"/>
  <c r="AE174"/>
  <c r="AF174" s="1"/>
  <c r="AH174"/>
  <c r="AI174" s="1"/>
  <c r="AJ174" s="1"/>
  <c r="AA174"/>
  <c r="AB174" s="1"/>
  <c r="AC174" s="1"/>
  <c r="Z436"/>
  <c r="AM436"/>
  <c r="AB191"/>
  <c r="AF191"/>
  <c r="Z371"/>
  <c r="AM371"/>
  <c r="Z363"/>
  <c r="AM363"/>
  <c r="AE187"/>
  <c r="AF187" s="1"/>
  <c r="AG187" s="1"/>
  <c r="AH187"/>
  <c r="AI187" s="1"/>
  <c r="AJ186" s="1"/>
  <c r="AG186"/>
  <c r="AA187"/>
  <c r="AB187" s="1"/>
  <c r="AC187" s="1"/>
  <c r="AE178"/>
  <c r="AF178" s="1"/>
  <c r="AG177" s="1"/>
  <c r="AH178"/>
  <c r="AI178" s="1"/>
  <c r="AJ178" s="1"/>
  <c r="AA178"/>
  <c r="AB178" s="1"/>
  <c r="AC178" s="1"/>
  <c r="Z444"/>
  <c r="AM444"/>
  <c r="AE216"/>
  <c r="AF216" s="1"/>
  <c r="AG216" s="1"/>
  <c r="AA216"/>
  <c r="AB216" s="1"/>
  <c r="AC216" s="1"/>
  <c r="AH216"/>
  <c r="AI216" s="1"/>
  <c r="AJ216" s="1"/>
  <c r="AE196"/>
  <c r="AF196" s="1"/>
  <c r="AG196" s="1"/>
  <c r="AH196"/>
  <c r="AI196" s="1"/>
  <c r="AJ196" s="1"/>
  <c r="AG195"/>
  <c r="AA196"/>
  <c r="AB196" s="1"/>
  <c r="AC196" s="1"/>
  <c r="AJ195"/>
  <c r="Z383"/>
  <c r="AM383"/>
  <c r="Z351"/>
  <c r="AM351"/>
  <c r="Z343"/>
  <c r="AM343"/>
  <c r="Z306"/>
  <c r="AM306"/>
  <c r="Z282"/>
  <c r="AM282"/>
  <c r="AH160"/>
  <c r="AI160" s="1"/>
  <c r="AJ160" s="1"/>
  <c r="AA160"/>
  <c r="AB160" s="1"/>
  <c r="AC160" s="1"/>
  <c r="AE160"/>
  <c r="AF160" s="1"/>
  <c r="AG160" s="1"/>
  <c r="Z359"/>
  <c r="AM359"/>
  <c r="AI135"/>
  <c r="AJ135" s="1"/>
  <c r="AB135"/>
  <c r="AC135" s="1"/>
  <c r="Z355"/>
  <c r="AM355"/>
  <c r="Z293"/>
  <c r="AM293"/>
  <c r="Z285"/>
  <c r="AM285"/>
  <c r="Z277"/>
  <c r="AK277"/>
  <c r="AH165"/>
  <c r="AI165" s="1"/>
  <c r="AJ165" s="1"/>
  <c r="AE165"/>
  <c r="AF165" s="1"/>
  <c r="AG164" s="1"/>
  <c r="AA165"/>
  <c r="AB165" s="1"/>
  <c r="AC164" s="1"/>
  <c r="AH173"/>
  <c r="AI173" s="1"/>
  <c r="AJ173" s="1"/>
  <c r="AE173"/>
  <c r="AF173" s="1"/>
  <c r="AG173" s="1"/>
  <c r="AA173"/>
  <c r="AB173" s="1"/>
  <c r="AC173" s="1"/>
  <c r="Z342"/>
  <c r="AK342"/>
  <c r="Z326"/>
  <c r="AK326"/>
  <c r="Z314"/>
  <c r="AM314"/>
  <c r="Z310"/>
  <c r="AM310"/>
  <c r="Z284"/>
  <c r="AM284"/>
  <c r="Z288"/>
  <c r="AM288"/>
  <c r="Z280"/>
  <c r="AM280"/>
  <c r="AM646"/>
  <c r="AK631"/>
  <c r="AK614"/>
  <c r="AK599"/>
  <c r="AK582"/>
  <c r="AK567"/>
  <c r="AK518"/>
  <c r="AK636"/>
  <c r="BX153"/>
  <c r="BO175"/>
  <c r="AJ142"/>
  <c r="AC103"/>
  <c r="AY61"/>
  <c r="AC119"/>
  <c r="AC111"/>
  <c r="AY33"/>
  <c r="AJ60"/>
  <c r="BX36"/>
  <c r="AG104"/>
  <c r="AG88"/>
  <c r="AM643"/>
  <c r="AM461"/>
  <c r="AM445"/>
  <c r="AM437"/>
  <c r="AM429"/>
  <c r="AK464"/>
  <c r="AK448"/>
  <c r="AK444"/>
  <c r="AK440"/>
  <c r="AK436"/>
  <c r="AK432"/>
  <c r="AM428"/>
  <c r="AM412"/>
  <c r="AM396"/>
  <c r="AM332"/>
  <c r="AK647"/>
  <c r="AK639"/>
  <c r="AM639"/>
  <c r="AK622"/>
  <c r="AM614"/>
  <c r="AK607"/>
  <c r="AM607"/>
  <c r="AK590"/>
  <c r="AM582"/>
  <c r="AK575"/>
  <c r="AM575"/>
  <c r="AK558"/>
  <c r="AM550"/>
  <c r="AK543"/>
  <c r="AM543"/>
  <c r="AK526"/>
  <c r="AM518"/>
  <c r="AK511"/>
  <c r="AM511"/>
  <c r="AK494"/>
  <c r="AM486"/>
  <c r="AM478"/>
  <c r="AM479"/>
  <c r="AM426"/>
  <c r="AM410"/>
  <c r="AM402"/>
  <c r="AM378"/>
  <c r="AM346"/>
  <c r="AM330"/>
  <c r="AK463"/>
  <c r="AK400"/>
  <c r="AK336"/>
  <c r="AM644"/>
  <c r="AM636"/>
  <c r="AK629"/>
  <c r="AM629"/>
  <c r="AK612"/>
  <c r="AM604"/>
  <c r="AK597"/>
  <c r="AM597"/>
  <c r="AK580"/>
  <c r="AM572"/>
  <c r="AK565"/>
  <c r="AM565"/>
  <c r="AK548"/>
  <c r="AM540"/>
  <c r="AK533"/>
  <c r="AM533"/>
  <c r="AK516"/>
  <c r="AM508"/>
  <c r="AK501"/>
  <c r="AM501"/>
  <c r="AK484"/>
  <c r="AM642"/>
  <c r="AM634"/>
  <c r="AK627"/>
  <c r="AM627"/>
  <c r="AK610"/>
  <c r="AM602"/>
  <c r="AK595"/>
  <c r="AM595"/>
  <c r="AK578"/>
  <c r="AM570"/>
  <c r="AK563"/>
  <c r="AM563"/>
  <c r="AK546"/>
  <c r="AM538"/>
  <c r="AK531"/>
  <c r="AM531"/>
  <c r="AK514"/>
  <c r="AM506"/>
  <c r="AK499"/>
  <c r="AM499"/>
  <c r="AK482"/>
  <c r="AK475"/>
  <c r="AK461"/>
  <c r="AK429"/>
  <c r="AK306"/>
  <c r="AK402"/>
  <c r="AK340"/>
  <c r="AK295"/>
  <c r="AK318"/>
  <c r="AM318"/>
  <c r="AM305"/>
  <c r="BT274"/>
  <c r="AK449"/>
  <c r="AK410"/>
  <c r="AK310"/>
  <c r="AM471"/>
  <c r="AK386"/>
  <c r="AK641"/>
  <c r="AM641"/>
  <c r="AK624"/>
  <c r="AM616"/>
  <c r="AK609"/>
  <c r="AM609"/>
  <c r="AK592"/>
  <c r="AM584"/>
  <c r="AK577"/>
  <c r="AM577"/>
  <c r="AK560"/>
  <c r="AM552"/>
  <c r="AK545"/>
  <c r="AM545"/>
  <c r="AK528"/>
  <c r="AM520"/>
  <c r="AK513"/>
  <c r="AM513"/>
  <c r="AK496"/>
  <c r="AM488"/>
  <c r="AK481"/>
  <c r="AM481"/>
  <c r="BT238"/>
  <c r="BT277"/>
  <c r="BO222"/>
  <c r="BO206"/>
  <c r="BO172"/>
  <c r="BO164"/>
  <c r="BT281"/>
  <c r="AJ185"/>
  <c r="BT232"/>
  <c r="BO208"/>
  <c r="AJ190"/>
  <c r="BT165"/>
  <c r="AG176"/>
  <c r="BJ165"/>
  <c r="BD161"/>
  <c r="AG137"/>
  <c r="AG133"/>
  <c r="AJ222"/>
  <c r="AC209"/>
  <c r="BT207"/>
  <c r="BO162"/>
  <c r="BT160"/>
  <c r="BT154"/>
  <c r="BO153"/>
  <c r="BX145"/>
  <c r="AG199"/>
  <c r="AG178"/>
  <c r="BJ175"/>
  <c r="AC182"/>
  <c r="AG150"/>
  <c r="AG142"/>
  <c r="BT142"/>
  <c r="BX120"/>
  <c r="BD117"/>
  <c r="AG116"/>
  <c r="BD113"/>
  <c r="AG112"/>
  <c r="BO151"/>
  <c r="AG152"/>
  <c r="BD150"/>
  <c r="BX135"/>
  <c r="BO135"/>
  <c r="BO131"/>
  <c r="BO158"/>
  <c r="BJ131"/>
  <c r="AY126"/>
  <c r="BT122"/>
  <c r="AC166"/>
  <c r="BD144"/>
  <c r="AT107"/>
  <c r="AT103"/>
  <c r="AT99"/>
  <c r="AT95"/>
  <c r="AT91"/>
  <c r="AT87"/>
  <c r="BD77"/>
  <c r="AG60"/>
  <c r="BX35"/>
  <c r="BO97"/>
  <c r="BX93"/>
  <c r="BX77"/>
  <c r="AJ74"/>
  <c r="AT71"/>
  <c r="AJ66"/>
  <c r="AJ58"/>
  <c r="AT55"/>
  <c r="AY44"/>
  <c r="AY36"/>
  <c r="AS77"/>
  <c r="AT77" s="1"/>
  <c r="AT120"/>
  <c r="AS84"/>
  <c r="AS133"/>
  <c r="AS137"/>
  <c r="AT137" s="1"/>
  <c r="AT112"/>
  <c r="AT116"/>
  <c r="AS126"/>
  <c r="AT126" s="1"/>
  <c r="BT59"/>
  <c r="AG55"/>
  <c r="AG53"/>
  <c r="BD109"/>
  <c r="BO108"/>
  <c r="BX104"/>
  <c r="AG99"/>
  <c r="BO92"/>
  <c r="BX88"/>
  <c r="BJ79"/>
  <c r="BO69"/>
  <c r="BO67"/>
  <c r="BO61"/>
  <c r="BO59"/>
  <c r="BO53"/>
  <c r="BO51"/>
  <c r="BO44"/>
  <c r="BO36"/>
  <c r="AK473"/>
  <c r="Z473"/>
  <c r="AM472"/>
  <c r="Z472"/>
  <c r="Z415"/>
  <c r="AM415"/>
  <c r="Z468"/>
  <c r="AM468"/>
  <c r="Z460"/>
  <c r="AM460"/>
  <c r="Z452"/>
  <c r="AM452"/>
  <c r="Z432"/>
  <c r="AM432"/>
  <c r="AE204"/>
  <c r="AF204" s="1"/>
  <c r="AG204" s="1"/>
  <c r="AH204"/>
  <c r="AI204" s="1"/>
  <c r="AJ204" s="1"/>
  <c r="AA204"/>
  <c r="AB204" s="1"/>
  <c r="AC203" s="1"/>
  <c r="Z438"/>
  <c r="AM438"/>
  <c r="AE211"/>
  <c r="AF211" s="1"/>
  <c r="AG210"/>
  <c r="AA211"/>
  <c r="AB211" s="1"/>
  <c r="AC210" s="1"/>
  <c r="AH211"/>
  <c r="AI211" s="1"/>
  <c r="AJ211" s="1"/>
  <c r="Z347"/>
  <c r="AM347"/>
  <c r="Z297"/>
  <c r="AM297"/>
  <c r="Z331"/>
  <c r="AM331"/>
  <c r="Z327"/>
  <c r="AM327"/>
  <c r="Z323"/>
  <c r="AM323"/>
  <c r="Z315"/>
  <c r="AM315"/>
  <c r="AA132"/>
  <c r="AB132" s="1"/>
  <c r="AC131" s="1"/>
  <c r="AE132"/>
  <c r="AF132" s="1"/>
  <c r="AG132"/>
  <c r="AH132"/>
  <c r="AI132" s="1"/>
  <c r="AJ131" s="1"/>
  <c r="AG131"/>
  <c r="Z423"/>
  <c r="AM423"/>
  <c r="Z390"/>
  <c r="AK390"/>
  <c r="Z462"/>
  <c r="AM462"/>
  <c r="Z454"/>
  <c r="AM454"/>
  <c r="Z448"/>
  <c r="AM448"/>
  <c r="Z446"/>
  <c r="AM446"/>
  <c r="Z430"/>
  <c r="AM430"/>
  <c r="BJ170"/>
  <c r="BJ171"/>
  <c r="AE219"/>
  <c r="AF219" s="1"/>
  <c r="AG219" s="1"/>
  <c r="AH219"/>
  <c r="AI219" s="1"/>
  <c r="AJ219" s="1"/>
  <c r="AA219"/>
  <c r="AB219" s="1"/>
  <c r="AC219" s="1"/>
  <c r="AJ218"/>
  <c r="AE224"/>
  <c r="AF224" s="1"/>
  <c r="AG224" s="1"/>
  <c r="AA224"/>
  <c r="AB224" s="1"/>
  <c r="AC224" s="1"/>
  <c r="AH224"/>
  <c r="AI224" s="1"/>
  <c r="AJ224" s="1"/>
  <c r="AE208"/>
  <c r="AF208" s="1"/>
  <c r="AG208" s="1"/>
  <c r="AA208"/>
  <c r="AB208" s="1"/>
  <c r="AC208" s="1"/>
  <c r="AH208"/>
  <c r="AI208" s="1"/>
  <c r="AJ208" s="1"/>
  <c r="Z407"/>
  <c r="AM407"/>
  <c r="Z403"/>
  <c r="AM403"/>
  <c r="Z334"/>
  <c r="AK334"/>
  <c r="Z456"/>
  <c r="AM456"/>
  <c r="Z414"/>
  <c r="AK414"/>
  <c r="AG229"/>
  <c r="AC229"/>
  <c r="AJ229"/>
  <c r="AH129"/>
  <c r="AI129" s="1"/>
  <c r="AJ129" s="1"/>
  <c r="AD128"/>
  <c r="AA129"/>
  <c r="AB129" s="1"/>
  <c r="AC128" s="1"/>
  <c r="AE129"/>
  <c r="AF129" s="1"/>
  <c r="AG128" s="1"/>
  <c r="Z302"/>
  <c r="AM302"/>
  <c r="Z286"/>
  <c r="AH154"/>
  <c r="AI154" s="1"/>
  <c r="AJ153"/>
  <c r="AA154"/>
  <c r="AB154" s="1"/>
  <c r="AC154" s="1"/>
  <c r="AE154"/>
  <c r="AF154" s="1"/>
  <c r="AG153" s="1"/>
  <c r="AJ154"/>
  <c r="AC153"/>
  <c r="AH146"/>
  <c r="AI146" s="1"/>
  <c r="AJ146" s="1"/>
  <c r="AA146"/>
  <c r="AB146" s="1"/>
  <c r="AC146" s="1"/>
  <c r="AE146"/>
  <c r="AF146" s="1"/>
  <c r="AG146" s="1"/>
  <c r="AG145"/>
  <c r="Z379"/>
  <c r="AM379"/>
  <c r="AI138"/>
  <c r="AJ138" s="1"/>
  <c r="AB138"/>
  <c r="AC138" s="1"/>
  <c r="Z358"/>
  <c r="AK358"/>
  <c r="AI134"/>
  <c r="AJ134" s="1"/>
  <c r="AB134"/>
  <c r="AC134" s="1"/>
  <c r="Z301"/>
  <c r="AM301"/>
  <c r="Z299"/>
  <c r="AM299"/>
  <c r="AR10"/>
  <c r="M7" s="1"/>
  <c r="AR9"/>
  <c r="Z287"/>
  <c r="Z276"/>
  <c r="AM276"/>
  <c r="Z296"/>
  <c r="AM296"/>
  <c r="AM271"/>
  <c r="Z271"/>
  <c r="AH123"/>
  <c r="AI123" s="1"/>
  <c r="AJ123" s="1"/>
  <c r="AE123"/>
  <c r="AF123" s="1"/>
  <c r="AG122" s="1"/>
  <c r="AA123"/>
  <c r="AB123" s="1"/>
  <c r="AC123" s="1"/>
  <c r="AJ122"/>
  <c r="AD122"/>
  <c r="AD25" s="1"/>
  <c r="K6" s="1"/>
  <c r="M6" s="1"/>
  <c r="AC122"/>
  <c r="AM638"/>
  <c r="AM631"/>
  <c r="AM599"/>
  <c r="AM567"/>
  <c r="AK550"/>
  <c r="AM510"/>
  <c r="AK621"/>
  <c r="AM621"/>
  <c r="AK604"/>
  <c r="AK572"/>
  <c r="AK540"/>
  <c r="AM532"/>
  <c r="AK619"/>
  <c r="AM619"/>
  <c r="AM594"/>
  <c r="AK587"/>
  <c r="AM587"/>
  <c r="AK555"/>
  <c r="AM555"/>
  <c r="AM530"/>
  <c r="AK506"/>
  <c r="BO253"/>
  <c r="AM648"/>
  <c r="AK633"/>
  <c r="AK616"/>
  <c r="AK601"/>
  <c r="AK584"/>
  <c r="AK552"/>
  <c r="AK488"/>
  <c r="BX144"/>
  <c r="AS128"/>
  <c r="AT128" s="1"/>
  <c r="AC100"/>
  <c r="AC115"/>
  <c r="AM645"/>
  <c r="AM463"/>
  <c r="AM455"/>
  <c r="AM431"/>
  <c r="AM424"/>
  <c r="AM408"/>
  <c r="AM392"/>
  <c r="AM376"/>
  <c r="AM360"/>
  <c r="AK347"/>
  <c r="AK630"/>
  <c r="AM622"/>
  <c r="AK615"/>
  <c r="AM615"/>
  <c r="AK598"/>
  <c r="AM590"/>
  <c r="AK583"/>
  <c r="AM583"/>
  <c r="AK566"/>
  <c r="AM558"/>
  <c r="AK551"/>
  <c r="AM551"/>
  <c r="AK534"/>
  <c r="AM526"/>
  <c r="AK519"/>
  <c r="AM519"/>
  <c r="AK502"/>
  <c r="AK487"/>
  <c r="AM487"/>
  <c r="AK425"/>
  <c r="AK409"/>
  <c r="AK401"/>
  <c r="AK393"/>
  <c r="AK385"/>
  <c r="AK377"/>
  <c r="AK353"/>
  <c r="AK451"/>
  <c r="AK435"/>
  <c r="AK408"/>
  <c r="AK384"/>
  <c r="AK645"/>
  <c r="AK637"/>
  <c r="AM637"/>
  <c r="AK620"/>
  <c r="AM612"/>
  <c r="AK588"/>
  <c r="AM580"/>
  <c r="AK573"/>
  <c r="AM573"/>
  <c r="AK556"/>
  <c r="AM548"/>
  <c r="AK524"/>
  <c r="AM516"/>
  <c r="AK509"/>
  <c r="AM509"/>
  <c r="AM484"/>
  <c r="AK359"/>
  <c r="AK327"/>
  <c r="AM311"/>
  <c r="AK643"/>
  <c r="AK635"/>
  <c r="AM635"/>
  <c r="AK618"/>
  <c r="AM610"/>
  <c r="AK603"/>
  <c r="AM603"/>
  <c r="AK586"/>
  <c r="AK571"/>
  <c r="AM571"/>
  <c r="AK554"/>
  <c r="AK539"/>
  <c r="AM539"/>
  <c r="AK522"/>
  <c r="AM514"/>
  <c r="AK507"/>
  <c r="AM507"/>
  <c r="AK490"/>
  <c r="AM482"/>
  <c r="AM474"/>
  <c r="AM397"/>
  <c r="AM381"/>
  <c r="AM373"/>
  <c r="AM365"/>
  <c r="AM349"/>
  <c r="AK469"/>
  <c r="AK437"/>
  <c r="AK332"/>
  <c r="AK307"/>
  <c r="AM277"/>
  <c r="AM269"/>
  <c r="AK304"/>
  <c r="AK457"/>
  <c r="AK412"/>
  <c r="AK311"/>
  <c r="BT248"/>
  <c r="AK388"/>
  <c r="AK302"/>
  <c r="AK294"/>
  <c r="AK632"/>
  <c r="AM624"/>
  <c r="AK617"/>
  <c r="AM617"/>
  <c r="AK600"/>
  <c r="AM592"/>
  <c r="AK585"/>
  <c r="AM585"/>
  <c r="AK568"/>
  <c r="AM560"/>
  <c r="AK553"/>
  <c r="AM553"/>
  <c r="AK536"/>
  <c r="AM528"/>
  <c r="AK521"/>
  <c r="AM521"/>
  <c r="AK504"/>
  <c r="AM496"/>
  <c r="AK489"/>
  <c r="AM489"/>
  <c r="BO243"/>
  <c r="AG211"/>
  <c r="AJ193"/>
  <c r="AG138"/>
  <c r="AG134"/>
  <c r="BT230"/>
  <c r="AJ206"/>
  <c r="BJ161"/>
  <c r="BO145"/>
  <c r="AJ132"/>
  <c r="AJ183"/>
  <c r="BJ124"/>
  <c r="BH24" s="1"/>
  <c r="AC157"/>
  <c r="BT146"/>
  <c r="AY130"/>
  <c r="BD116"/>
  <c r="BD112"/>
  <c r="BO147"/>
  <c r="AG148"/>
  <c r="BX119"/>
  <c r="AB130"/>
  <c r="AC130" s="1"/>
  <c r="AG174"/>
  <c r="BO127"/>
  <c r="BT138"/>
  <c r="BX68"/>
  <c r="BO77"/>
  <c r="AJ75"/>
  <c r="AC69"/>
  <c r="AJ67"/>
  <c r="AC61"/>
  <c r="AJ59"/>
  <c r="AC53"/>
  <c r="AJ51"/>
  <c r="AC43"/>
  <c r="AT38"/>
  <c r="AC35"/>
  <c r="AS31"/>
  <c r="AT31" s="1"/>
  <c r="AS47"/>
  <c r="AT47" s="1"/>
  <c r="AS64"/>
  <c r="AT64" s="1"/>
  <c r="AS80"/>
  <c r="AT80" s="1"/>
  <c r="AS132"/>
  <c r="AS136"/>
  <c r="AG102"/>
  <c r="BT34"/>
  <c r="BX72"/>
  <c r="AG72"/>
  <c r="BX64"/>
  <c r="AG64"/>
  <c r="BX56"/>
  <c r="BX47"/>
  <c r="AG47"/>
  <c r="BX39"/>
  <c r="BX31"/>
  <c r="AG31"/>
  <c r="BD39"/>
  <c r="BO104"/>
  <c r="BX100"/>
  <c r="AG95"/>
  <c r="BO88"/>
  <c r="BJ70"/>
  <c r="BJ62"/>
  <c r="AT107" i="1"/>
  <c r="AT59"/>
  <c r="AT91"/>
  <c r="AT123"/>
  <c r="AT35"/>
  <c r="AT51"/>
  <c r="AT67"/>
  <c r="AT83"/>
  <c r="AT99"/>
  <c r="AT115"/>
  <c r="AT131"/>
  <c r="BJ58"/>
  <c r="BO135"/>
  <c r="BT172"/>
  <c r="BO77"/>
  <c r="BT111"/>
  <c r="BT291"/>
  <c r="BO166"/>
  <c r="BJ116"/>
  <c r="BD95"/>
  <c r="BO71"/>
  <c r="BT236"/>
  <c r="BT158"/>
  <c r="BT107"/>
  <c r="BT123"/>
  <c r="BO86"/>
  <c r="BO182"/>
  <c r="BJ84"/>
  <c r="U29"/>
  <c r="BT94"/>
  <c r="BT300"/>
  <c r="BT187"/>
  <c r="BO198"/>
  <c r="BJ148"/>
  <c r="BJ90"/>
  <c r="BJ122"/>
  <c r="BJ154"/>
  <c r="BD152"/>
  <c r="BO187"/>
  <c r="BO31"/>
  <c r="BT138"/>
  <c r="BT202"/>
  <c r="BT266"/>
  <c r="BO93"/>
  <c r="BO110"/>
  <c r="BO138"/>
  <c r="BO154"/>
  <c r="BO170"/>
  <c r="BO202"/>
  <c r="BO218"/>
  <c r="BO37"/>
  <c r="BJ36"/>
  <c r="BJ100"/>
  <c r="BJ164"/>
  <c r="BO74"/>
  <c r="BO90"/>
  <c r="BO106"/>
  <c r="BO122"/>
  <c r="BJ29"/>
  <c r="BJ50"/>
  <c r="BJ82"/>
  <c r="BJ114"/>
  <c r="BJ146"/>
  <c r="BJ178"/>
  <c r="BJ47"/>
  <c r="BJ63"/>
  <c r="BJ79"/>
  <c r="BJ95"/>
  <c r="BJ111"/>
  <c r="BJ127"/>
  <c r="BJ143"/>
  <c r="BJ159"/>
  <c r="BJ175"/>
  <c r="BO51"/>
  <c r="BT174"/>
  <c r="BT238"/>
  <c r="BT75"/>
  <c r="BO61"/>
  <c r="BJ42"/>
  <c r="BJ74"/>
  <c r="BJ106"/>
  <c r="BJ138"/>
  <c r="BJ170"/>
  <c r="BT78"/>
  <c r="BO125"/>
  <c r="BO66"/>
  <c r="BO82"/>
  <c r="BO98"/>
  <c r="BO114"/>
  <c r="BO130"/>
  <c r="BJ34"/>
  <c r="BJ66"/>
  <c r="BJ98"/>
  <c r="BJ130"/>
  <c r="BJ162"/>
  <c r="BJ59"/>
  <c r="BJ60"/>
  <c r="BJ86"/>
  <c r="BJ85"/>
  <c r="BJ124"/>
  <c r="BJ123"/>
  <c r="BJ149"/>
  <c r="BJ150"/>
  <c r="BJ62"/>
  <c r="BJ61"/>
  <c r="BJ94"/>
  <c r="BJ93"/>
  <c r="BJ126"/>
  <c r="BJ125"/>
  <c r="BJ158"/>
  <c r="BJ157"/>
  <c r="BJ54"/>
  <c r="BJ53"/>
  <c r="BJ91"/>
  <c r="BJ92"/>
  <c r="BJ117"/>
  <c r="BJ118"/>
  <c r="BJ156"/>
  <c r="BJ155"/>
  <c r="BJ46"/>
  <c r="BJ45"/>
  <c r="BJ78"/>
  <c r="BJ77"/>
  <c r="BJ110"/>
  <c r="BJ109"/>
  <c r="BJ142"/>
  <c r="BJ141"/>
  <c r="BJ174"/>
  <c r="BJ173"/>
  <c r="BJ38"/>
  <c r="BJ37"/>
  <c r="BJ43"/>
  <c r="BJ44"/>
  <c r="BJ69"/>
  <c r="BJ70"/>
  <c r="BJ76"/>
  <c r="BJ75"/>
  <c r="BJ101"/>
  <c r="BJ102"/>
  <c r="BJ107"/>
  <c r="BJ108"/>
  <c r="BJ133"/>
  <c r="BJ134"/>
  <c r="BJ139"/>
  <c r="BJ140"/>
  <c r="BJ165"/>
  <c r="BJ166"/>
  <c r="BJ171"/>
  <c r="BJ172"/>
  <c r="BJ55"/>
  <c r="BJ71"/>
  <c r="BJ119"/>
  <c r="BD109"/>
  <c r="BO81"/>
  <c r="BO97"/>
  <c r="BO113"/>
  <c r="BO129"/>
  <c r="BT131"/>
  <c r="BT195"/>
  <c r="BR24" s="1"/>
  <c r="K22" s="1"/>
  <c r="BT259"/>
  <c r="BJ31"/>
  <c r="AJ85"/>
  <c r="AC72"/>
  <c r="AY73"/>
  <c r="BD110"/>
  <c r="BO42"/>
  <c r="BO58"/>
  <c r="BO33"/>
  <c r="BO49"/>
  <c r="BO65"/>
  <c r="BO235"/>
  <c r="BO267"/>
  <c r="BO274"/>
  <c r="BJ39"/>
  <c r="BJ87"/>
  <c r="BJ103"/>
  <c r="BJ135"/>
  <c r="BJ151"/>
  <c r="BJ167"/>
  <c r="AY86"/>
  <c r="AY36"/>
  <c r="AY68"/>
  <c r="AY82"/>
  <c r="AC73"/>
  <c r="BO35"/>
  <c r="BO243"/>
  <c r="AC114"/>
  <c r="BD117"/>
  <c r="BD133"/>
  <c r="BD40"/>
  <c r="BD56"/>
  <c r="BD72"/>
  <c r="BD88"/>
  <c r="BD104"/>
  <c r="BD120"/>
  <c r="BD136"/>
  <c r="AC66"/>
  <c r="AY114"/>
  <c r="AG84"/>
  <c r="AY32"/>
  <c r="BD113"/>
  <c r="BD106"/>
  <c r="BD134"/>
  <c r="AJ49"/>
  <c r="AY40"/>
  <c r="BD111"/>
  <c r="AJ32"/>
  <c r="AJ48"/>
  <c r="AG111"/>
  <c r="AY118"/>
  <c r="AY44"/>
  <c r="AY60"/>
  <c r="AY76"/>
  <c r="AY92"/>
  <c r="AY108"/>
  <c r="AY124"/>
  <c r="AC32"/>
  <c r="AJ218"/>
  <c r="BD107"/>
  <c r="AY79"/>
  <c r="AY95"/>
  <c r="AY111"/>
  <c r="AY127"/>
  <c r="BD98"/>
  <c r="BD130"/>
  <c r="AY34"/>
  <c r="AJ41"/>
  <c r="AY53"/>
  <c r="AY81"/>
  <c r="AY97"/>
  <c r="AY42"/>
  <c r="AY51"/>
  <c r="AY67"/>
  <c r="AY58"/>
  <c r="BD38"/>
  <c r="BD39"/>
  <c r="BD54"/>
  <c r="BD55"/>
  <c r="AY50"/>
  <c r="BD119"/>
  <c r="BD135"/>
  <c r="BD103"/>
  <c r="AY72"/>
  <c r="AY88"/>
  <c r="AY104"/>
  <c r="AY120"/>
  <c r="AY136"/>
  <c r="AY87"/>
  <c r="AY103"/>
  <c r="AY119"/>
  <c r="AY135"/>
  <c r="AY47"/>
  <c r="AY63"/>
  <c r="AY33"/>
  <c r="BD97"/>
  <c r="BD129"/>
  <c r="BD36"/>
  <c r="BD52"/>
  <c r="BD68"/>
  <c r="BD84"/>
  <c r="BD100"/>
  <c r="BD116"/>
  <c r="BD132"/>
  <c r="BD115"/>
  <c r="AY134"/>
  <c r="BD131"/>
  <c r="AY126"/>
  <c r="BD42"/>
  <c r="BD43"/>
  <c r="BD34"/>
  <c r="BD35"/>
  <c r="BD50"/>
  <c r="BD51"/>
  <c r="BD66"/>
  <c r="BD67"/>
  <c r="AY113"/>
  <c r="AY52"/>
  <c r="AY41"/>
  <c r="AY85"/>
  <c r="AY101"/>
  <c r="AY117"/>
  <c r="AY43"/>
  <c r="AY59"/>
  <c r="AY35"/>
  <c r="BD32"/>
  <c r="BD48"/>
  <c r="BD64"/>
  <c r="BD80"/>
  <c r="BD96"/>
  <c r="BD112"/>
  <c r="BD128"/>
  <c r="BD83"/>
  <c r="AY110"/>
  <c r="BD127"/>
  <c r="AY94"/>
  <c r="BD58"/>
  <c r="BD59"/>
  <c r="BD30"/>
  <c r="BD31"/>
  <c r="BD46"/>
  <c r="BD47"/>
  <c r="BD62"/>
  <c r="BD63"/>
  <c r="AJ91"/>
  <c r="AC84"/>
  <c r="AJ40"/>
  <c r="AG112"/>
  <c r="AY64"/>
  <c r="AY80"/>
  <c r="AY96"/>
  <c r="AY112"/>
  <c r="AY128"/>
  <c r="AY37"/>
  <c r="AY57"/>
  <c r="AY75"/>
  <c r="AY83"/>
  <c r="AY91"/>
  <c r="AY99"/>
  <c r="AY107"/>
  <c r="AY115"/>
  <c r="AY123"/>
  <c r="AY131"/>
  <c r="AY39"/>
  <c r="AY55"/>
  <c r="AY71"/>
  <c r="AY74"/>
  <c r="AY31"/>
  <c r="BD121"/>
  <c r="BD44"/>
  <c r="BD60"/>
  <c r="BD76"/>
  <c r="BD92"/>
  <c r="BD108"/>
  <c r="BD124"/>
  <c r="BD71"/>
  <c r="AY90"/>
  <c r="AY29"/>
  <c r="AY78"/>
  <c r="BD99"/>
  <c r="BD123"/>
  <c r="AY66"/>
  <c r="AY46"/>
  <c r="BD75"/>
  <c r="BD87"/>
  <c r="AC94"/>
  <c r="AC34"/>
  <c r="AJ155"/>
  <c r="AJ65"/>
  <c r="AT31"/>
  <c r="AT39"/>
  <c r="AT47"/>
  <c r="AT55"/>
  <c r="AT63"/>
  <c r="AT71"/>
  <c r="AT79"/>
  <c r="AT87"/>
  <c r="AT95"/>
  <c r="AT103"/>
  <c r="AT111"/>
  <c r="AT119"/>
  <c r="AT127"/>
  <c r="AT135"/>
  <c r="AJ30"/>
  <c r="AC115"/>
  <c r="AT30"/>
  <c r="AT38"/>
  <c r="AT46"/>
  <c r="AT54"/>
  <c r="AT62"/>
  <c r="AT70"/>
  <c r="AT78"/>
  <c r="AT86"/>
  <c r="AT94"/>
  <c r="AT102"/>
  <c r="AT110"/>
  <c r="AT118"/>
  <c r="AT126"/>
  <c r="AT134"/>
  <c r="AT33"/>
  <c r="AT41"/>
  <c r="AT49"/>
  <c r="AT57"/>
  <c r="AT65"/>
  <c r="AT73"/>
  <c r="AT81"/>
  <c r="AT89"/>
  <c r="AT97"/>
  <c r="AT105"/>
  <c r="AT113"/>
  <c r="AT121"/>
  <c r="AT129"/>
  <c r="AT137"/>
  <c r="AT36"/>
  <c r="AT44"/>
  <c r="AT52"/>
  <c r="AT60"/>
  <c r="AT68"/>
  <c r="AT76"/>
  <c r="AT84"/>
  <c r="AT92"/>
  <c r="AT100"/>
  <c r="AT108"/>
  <c r="AT116"/>
  <c r="AT124"/>
  <c r="AT132"/>
  <c r="AC119"/>
  <c r="AT34"/>
  <c r="AT42"/>
  <c r="AT50"/>
  <c r="AT58"/>
  <c r="AT66"/>
  <c r="AT74"/>
  <c r="AT82"/>
  <c r="AT90"/>
  <c r="AT98"/>
  <c r="AT106"/>
  <c r="AT114"/>
  <c r="AT122"/>
  <c r="AT130"/>
  <c r="AT138"/>
  <c r="AJ117"/>
  <c r="AT37"/>
  <c r="AT45"/>
  <c r="AT53"/>
  <c r="AT61"/>
  <c r="AT69"/>
  <c r="AT77"/>
  <c r="AT85"/>
  <c r="AT93"/>
  <c r="AT101"/>
  <c r="AT109"/>
  <c r="AT117"/>
  <c r="AT125"/>
  <c r="AT133"/>
  <c r="AT32"/>
  <c r="AT40"/>
  <c r="AT48"/>
  <c r="AT56"/>
  <c r="AT64"/>
  <c r="AT72"/>
  <c r="AT80"/>
  <c r="AT88"/>
  <c r="AT96"/>
  <c r="AT104"/>
  <c r="AT112"/>
  <c r="AT120"/>
  <c r="AT128"/>
  <c r="AT136"/>
  <c r="AC96"/>
  <c r="AG32"/>
  <c r="AG71"/>
  <c r="AC79"/>
  <c r="AC37"/>
  <c r="AC69"/>
  <c r="AC82"/>
  <c r="AG72"/>
  <c r="AC61"/>
  <c r="AJ76"/>
  <c r="AC60"/>
  <c r="AJ202"/>
  <c r="AG92"/>
  <c r="AC113"/>
  <c r="AC108"/>
  <c r="AG91"/>
  <c r="AJ88"/>
  <c r="AC99"/>
  <c r="AJ68"/>
  <c r="AC33"/>
  <c r="AG98"/>
  <c r="AG60"/>
  <c r="AC118"/>
  <c r="AJ60"/>
  <c r="AJ54"/>
  <c r="AC71"/>
  <c r="AG103"/>
  <c r="AJ53"/>
  <c r="G10"/>
  <c r="AJ67"/>
  <c r="AC93"/>
  <c r="AC226"/>
  <c r="AG80"/>
  <c r="AJ64"/>
  <c r="AG36"/>
  <c r="AC187"/>
  <c r="AC45"/>
  <c r="AJ45"/>
  <c r="AG47"/>
  <c r="AJ36"/>
  <c r="AC30"/>
  <c r="AC70"/>
  <c r="AJ46"/>
  <c r="AJ78"/>
  <c r="AJ103"/>
  <c r="AJ96"/>
  <c r="AG48"/>
  <c r="AJ62"/>
  <c r="AJ123"/>
  <c r="AC50"/>
  <c r="AJ77"/>
  <c r="AJ93"/>
  <c r="AG100"/>
  <c r="AG88"/>
  <c r="AC219"/>
  <c r="AG68"/>
  <c r="AC51"/>
  <c r="AC116"/>
  <c r="AC49"/>
  <c r="AJ226"/>
  <c r="AJ84"/>
  <c r="AJ56"/>
  <c r="AJ108"/>
  <c r="AG116"/>
  <c r="AC65"/>
  <c r="AC38"/>
  <c r="AC109"/>
  <c r="AC81"/>
  <c r="AJ89"/>
  <c r="AJ33"/>
  <c r="AJ44"/>
  <c r="AC44"/>
  <c r="AG104"/>
  <c r="AC68"/>
  <c r="AJ92"/>
  <c r="AC155"/>
  <c r="AG64"/>
  <c r="AG87"/>
  <c r="AC103"/>
  <c r="AJ110"/>
  <c r="AJ57"/>
  <c r="AJ97"/>
  <c r="AC77"/>
  <c r="AC100"/>
  <c r="AC101"/>
  <c r="AJ100"/>
  <c r="AJ29"/>
  <c r="AC80"/>
  <c r="AJ39"/>
  <c r="AJ99"/>
  <c r="AG34"/>
  <c r="AC102"/>
  <c r="AJ107"/>
  <c r="AC95"/>
  <c r="AJ94"/>
  <c r="AJ139"/>
  <c r="AJ109"/>
  <c r="AC59"/>
  <c r="AC123"/>
  <c r="AC46"/>
  <c r="AC62"/>
  <c r="AC78"/>
  <c r="AG95"/>
  <c r="AC29"/>
  <c r="AJ43"/>
  <c r="AJ171"/>
  <c r="AG39"/>
  <c r="AJ37"/>
  <c r="AJ74"/>
  <c r="AG31"/>
  <c r="AC55"/>
  <c r="AG79"/>
  <c r="AC87"/>
  <c r="AC111"/>
  <c r="AJ61"/>
  <c r="AC52"/>
  <c r="AC85"/>
  <c r="AC117"/>
  <c r="AC31"/>
  <c r="AJ69"/>
  <c r="AC171"/>
  <c r="AJ116"/>
  <c r="AC76"/>
  <c r="AG171"/>
  <c r="AG52"/>
  <c r="AC36"/>
  <c r="AC35"/>
  <c r="AG55"/>
  <c r="AG56"/>
  <c r="AC98"/>
  <c r="AC97"/>
  <c r="AJ52"/>
  <c r="AG63"/>
  <c r="AC54"/>
  <c r="AC86"/>
  <c r="AG51"/>
  <c r="AJ101"/>
  <c r="AG96"/>
  <c r="AC39"/>
  <c r="AJ59"/>
  <c r="AG40"/>
  <c r="AC67"/>
  <c r="AC107"/>
  <c r="AC53"/>
  <c r="AJ70"/>
  <c r="AJ87"/>
  <c r="AC83"/>
  <c r="AJ35"/>
  <c r="AJ115"/>
  <c r="AC75"/>
  <c r="AC139"/>
  <c r="AC203"/>
  <c r="AC110"/>
  <c r="AG203"/>
  <c r="AG139"/>
  <c r="AC91"/>
  <c r="AC92"/>
  <c r="AJ111"/>
  <c r="AJ58"/>
  <c r="AJ95"/>
  <c r="AJ63"/>
  <c r="AG83"/>
  <c r="AH187"/>
  <c r="AI187" s="1"/>
  <c r="AE187"/>
  <c r="AF187" s="1"/>
  <c r="AG187" s="1"/>
  <c r="AH180"/>
  <c r="AI180" s="1"/>
  <c r="AA180"/>
  <c r="AB180" s="1"/>
  <c r="AE180"/>
  <c r="AF180" s="1"/>
  <c r="AE148"/>
  <c r="AF148" s="1"/>
  <c r="AA148"/>
  <c r="AB148" s="1"/>
  <c r="AH148"/>
  <c r="AI148" s="1"/>
  <c r="AH120"/>
  <c r="AI120" s="1"/>
  <c r="AJ119" s="1"/>
  <c r="AE120"/>
  <c r="AF120" s="1"/>
  <c r="AG119" s="1"/>
  <c r="AJ122"/>
  <c r="AJ55"/>
  <c r="AE163"/>
  <c r="AF163" s="1"/>
  <c r="AG163" s="1"/>
  <c r="AA163"/>
  <c r="AB163" s="1"/>
  <c r="AC163" s="1"/>
  <c r="AH163"/>
  <c r="AI163" s="1"/>
  <c r="AE125"/>
  <c r="AF125" s="1"/>
  <c r="AG124" s="1"/>
  <c r="AD124"/>
  <c r="AH125"/>
  <c r="AI125" s="1"/>
  <c r="AA125"/>
  <c r="AB125" s="1"/>
  <c r="AH133"/>
  <c r="AI133" s="1"/>
  <c r="AE133"/>
  <c r="AF133" s="1"/>
  <c r="AG132" s="1"/>
  <c r="AA133"/>
  <c r="AB133" s="1"/>
  <c r="AH141"/>
  <c r="AI141" s="1"/>
  <c r="AE141"/>
  <c r="AF141" s="1"/>
  <c r="AG140" s="1"/>
  <c r="AA141"/>
  <c r="AB141" s="1"/>
  <c r="AH149"/>
  <c r="AI149" s="1"/>
  <c r="AE149"/>
  <c r="AF149" s="1"/>
  <c r="AA149"/>
  <c r="AB149" s="1"/>
  <c r="AE157"/>
  <c r="AF157" s="1"/>
  <c r="AG156" s="1"/>
  <c r="AH157"/>
  <c r="AI157" s="1"/>
  <c r="AA157"/>
  <c r="AB157" s="1"/>
  <c r="AH165"/>
  <c r="AI165" s="1"/>
  <c r="AE165"/>
  <c r="AF165" s="1"/>
  <c r="AG164" s="1"/>
  <c r="AA165"/>
  <c r="AB165" s="1"/>
  <c r="AH173"/>
  <c r="AI173" s="1"/>
  <c r="AE173"/>
  <c r="AF173" s="1"/>
  <c r="AG172" s="1"/>
  <c r="AA173"/>
  <c r="AB173" s="1"/>
  <c r="AH193"/>
  <c r="AI193" s="1"/>
  <c r="AJ193" s="1"/>
  <c r="AE193"/>
  <c r="AF193" s="1"/>
  <c r="AG192" s="1"/>
  <c r="AA193"/>
  <c r="AB193" s="1"/>
  <c r="AE209"/>
  <c r="AF209" s="1"/>
  <c r="AG208" s="1"/>
  <c r="AA209"/>
  <c r="AB209" s="1"/>
  <c r="AH209"/>
  <c r="AI209" s="1"/>
  <c r="AJ209" s="1"/>
  <c r="AA217"/>
  <c r="AB217" s="1"/>
  <c r="AH217"/>
  <c r="AI217" s="1"/>
  <c r="AJ217" s="1"/>
  <c r="AE217"/>
  <c r="AF217" s="1"/>
  <c r="AG216" s="1"/>
  <c r="AE177"/>
  <c r="AF177" s="1"/>
  <c r="AG176" s="1"/>
  <c r="AH177"/>
  <c r="AI177" s="1"/>
  <c r="AA177"/>
  <c r="AB177" s="1"/>
  <c r="AE189"/>
  <c r="AF189" s="1"/>
  <c r="AG188" s="1"/>
  <c r="AA189"/>
  <c r="AB189" s="1"/>
  <c r="AH189"/>
  <c r="AI189" s="1"/>
  <c r="AJ189" s="1"/>
  <c r="AA205"/>
  <c r="AB205" s="1"/>
  <c r="AE205"/>
  <c r="AF205" s="1"/>
  <c r="AG204" s="1"/>
  <c r="AH205"/>
  <c r="AI205" s="1"/>
  <c r="AJ204" s="1"/>
  <c r="AE221"/>
  <c r="AF221" s="1"/>
  <c r="AG220" s="1"/>
  <c r="AH221"/>
  <c r="AI221" s="1"/>
  <c r="AJ220" s="1"/>
  <c r="AA221"/>
  <c r="AB221" s="1"/>
  <c r="AC220" s="1"/>
  <c r="AJ98"/>
  <c r="AC42"/>
  <c r="AC58"/>
  <c r="AC74"/>
  <c r="AC90"/>
  <c r="AC106"/>
  <c r="AC122"/>
  <c r="AC138"/>
  <c r="AC154"/>
  <c r="AC170"/>
  <c r="AC186"/>
  <c r="AC202"/>
  <c r="AC218"/>
  <c r="AG155"/>
  <c r="AG75"/>
  <c r="AG67"/>
  <c r="AG35"/>
  <c r="AD125"/>
  <c r="AA151"/>
  <c r="AB151" s="1"/>
  <c r="AC151" s="1"/>
  <c r="AH151"/>
  <c r="AI151" s="1"/>
  <c r="AJ151" s="1"/>
  <c r="AE151"/>
  <c r="AF151" s="1"/>
  <c r="AG151" s="1"/>
  <c r="AA183"/>
  <c r="AB183" s="1"/>
  <c r="AC183" s="1"/>
  <c r="AE183"/>
  <c r="AF183" s="1"/>
  <c r="AG183" s="1"/>
  <c r="AH183"/>
  <c r="AI183" s="1"/>
  <c r="AJ182" s="1"/>
  <c r="AA215"/>
  <c r="AB215" s="1"/>
  <c r="AC215" s="1"/>
  <c r="AH215"/>
  <c r="AI215" s="1"/>
  <c r="AJ215" s="1"/>
  <c r="AE215"/>
  <c r="AF215" s="1"/>
  <c r="AG215" s="1"/>
  <c r="AA143"/>
  <c r="AB143" s="1"/>
  <c r="AC143" s="1"/>
  <c r="AH143"/>
  <c r="AI143" s="1"/>
  <c r="AE143"/>
  <c r="AF143" s="1"/>
  <c r="AG143" s="1"/>
  <c r="AA175"/>
  <c r="AB175" s="1"/>
  <c r="AC175" s="1"/>
  <c r="AH175"/>
  <c r="AI175" s="1"/>
  <c r="AJ174" s="1"/>
  <c r="AE175"/>
  <c r="AF175" s="1"/>
  <c r="AG175" s="1"/>
  <c r="AA207"/>
  <c r="AB207" s="1"/>
  <c r="AC207" s="1"/>
  <c r="AH207"/>
  <c r="AI207" s="1"/>
  <c r="AJ206" s="1"/>
  <c r="AE207"/>
  <c r="AF207" s="1"/>
  <c r="AG207" s="1"/>
  <c r="AA179"/>
  <c r="AB179" s="1"/>
  <c r="AC179" s="1"/>
  <c r="AH179"/>
  <c r="AI179" s="1"/>
  <c r="AE179"/>
  <c r="AF179" s="1"/>
  <c r="AJ34"/>
  <c r="AJ82"/>
  <c r="AG123"/>
  <c r="AG43"/>
  <c r="AH131"/>
  <c r="AI131" s="1"/>
  <c r="AJ131" s="1"/>
  <c r="AE131"/>
  <c r="AF131" s="1"/>
  <c r="AG131" s="1"/>
  <c r="AA131"/>
  <c r="AB131" s="1"/>
  <c r="AC131" s="1"/>
  <c r="AE195"/>
  <c r="AF195" s="1"/>
  <c r="AG195" s="1"/>
  <c r="AA195"/>
  <c r="AB195" s="1"/>
  <c r="AC195" s="1"/>
  <c r="AH195"/>
  <c r="AI195" s="1"/>
  <c r="AD120"/>
  <c r="AH121"/>
  <c r="AI121" s="1"/>
  <c r="AE121"/>
  <c r="AF121" s="1"/>
  <c r="AG120" s="1"/>
  <c r="AA121"/>
  <c r="AB121" s="1"/>
  <c r="AH129"/>
  <c r="AI129" s="1"/>
  <c r="AE129"/>
  <c r="AF129" s="1"/>
  <c r="AG128" s="1"/>
  <c r="AA129"/>
  <c r="AB129" s="1"/>
  <c r="AC128" s="1"/>
  <c r="AH137"/>
  <c r="AI137" s="1"/>
  <c r="AE137"/>
  <c r="AF137" s="1"/>
  <c r="AA137"/>
  <c r="AB137" s="1"/>
  <c r="AH145"/>
  <c r="AI145" s="1"/>
  <c r="AE145"/>
  <c r="AF145" s="1"/>
  <c r="AG144" s="1"/>
  <c r="AA145"/>
  <c r="AB145" s="1"/>
  <c r="AH153"/>
  <c r="AI153" s="1"/>
  <c r="AE153"/>
  <c r="AF153" s="1"/>
  <c r="AG152" s="1"/>
  <c r="AA153"/>
  <c r="AB153" s="1"/>
  <c r="AE161"/>
  <c r="AF161" s="1"/>
  <c r="AG160" s="1"/>
  <c r="AH161"/>
  <c r="AI161" s="1"/>
  <c r="AA161"/>
  <c r="AB161" s="1"/>
  <c r="AH169"/>
  <c r="AI169" s="1"/>
  <c r="AJ169" s="1"/>
  <c r="AA169"/>
  <c r="AB169" s="1"/>
  <c r="AE169"/>
  <c r="AF169" s="1"/>
  <c r="AG168" s="1"/>
  <c r="AH181"/>
  <c r="AI181" s="1"/>
  <c r="AE181"/>
  <c r="AF181" s="1"/>
  <c r="AA181"/>
  <c r="AB181" s="1"/>
  <c r="AH197"/>
  <c r="AI197" s="1"/>
  <c r="AE197"/>
  <c r="AF197" s="1"/>
  <c r="AG196" s="1"/>
  <c r="AA197"/>
  <c r="AB197" s="1"/>
  <c r="AH213"/>
  <c r="AI213" s="1"/>
  <c r="AE213"/>
  <c r="AF213" s="1"/>
  <c r="AA213"/>
  <c r="AB213" s="1"/>
  <c r="AH185"/>
  <c r="AI185" s="1"/>
  <c r="AJ185" s="1"/>
  <c r="AE185"/>
  <c r="AF185" s="1"/>
  <c r="AG184" s="1"/>
  <c r="AA185"/>
  <c r="AB185" s="1"/>
  <c r="AE201"/>
  <c r="AF201" s="1"/>
  <c r="AG200" s="1"/>
  <c r="AH201"/>
  <c r="AI201" s="1"/>
  <c r="AJ201" s="1"/>
  <c r="AA201"/>
  <c r="AB201" s="1"/>
  <c r="AC194"/>
  <c r="AG219"/>
  <c r="AG59"/>
  <c r="AG115"/>
  <c r="AG99"/>
  <c r="AA135"/>
  <c r="AB135" s="1"/>
  <c r="AC135" s="1"/>
  <c r="AH135"/>
  <c r="AI135" s="1"/>
  <c r="AJ135" s="1"/>
  <c r="AE135"/>
  <c r="AF135" s="1"/>
  <c r="AG135" s="1"/>
  <c r="AA167"/>
  <c r="AB167" s="1"/>
  <c r="AC167" s="1"/>
  <c r="AE167"/>
  <c r="AF167" s="1"/>
  <c r="AG167" s="1"/>
  <c r="AH167"/>
  <c r="AI167" s="1"/>
  <c r="AA199"/>
  <c r="AB199" s="1"/>
  <c r="AC199" s="1"/>
  <c r="AE199"/>
  <c r="AF199" s="1"/>
  <c r="AG199" s="1"/>
  <c r="AH199"/>
  <c r="AI199" s="1"/>
  <c r="AJ199" s="1"/>
  <c r="AD127"/>
  <c r="AA127"/>
  <c r="AB127" s="1"/>
  <c r="AC127" s="1"/>
  <c r="AH127"/>
  <c r="AI127" s="1"/>
  <c r="AJ126" s="1"/>
  <c r="AD126"/>
  <c r="AE127"/>
  <c r="AF127" s="1"/>
  <c r="AG127" s="1"/>
  <c r="AA159"/>
  <c r="AB159" s="1"/>
  <c r="AC159" s="1"/>
  <c r="AE159"/>
  <c r="AF159" s="1"/>
  <c r="AG159" s="1"/>
  <c r="AH159"/>
  <c r="AI159" s="1"/>
  <c r="AJ158" s="1"/>
  <c r="AA191"/>
  <c r="AB191" s="1"/>
  <c r="AC191" s="1"/>
  <c r="AE191"/>
  <c r="AF191" s="1"/>
  <c r="AG191" s="1"/>
  <c r="AH191"/>
  <c r="AI191" s="1"/>
  <c r="AA147"/>
  <c r="AB147" s="1"/>
  <c r="AH147"/>
  <c r="AI147" s="1"/>
  <c r="AE147"/>
  <c r="AF147" s="1"/>
  <c r="AG147" s="1"/>
  <c r="AA211"/>
  <c r="AB211" s="1"/>
  <c r="AC211" s="1"/>
  <c r="AH211"/>
  <c r="AI211" s="1"/>
  <c r="AE211"/>
  <c r="AF211" s="1"/>
  <c r="AG211" s="1"/>
  <c r="AJ50"/>
  <c r="AJ114"/>
  <c r="AC174"/>
  <c r="AG107"/>
  <c r="AG49"/>
  <c r="AG50"/>
  <c r="AG65"/>
  <c r="AG66"/>
  <c r="AG81"/>
  <c r="AG82"/>
  <c r="AG113"/>
  <c r="AG114"/>
  <c r="AG226"/>
  <c r="Z649"/>
  <c r="AG33"/>
  <c r="AJ102"/>
  <c r="AJ31"/>
  <c r="AJ175"/>
  <c r="AJ207"/>
  <c r="AG222"/>
  <c r="AE224"/>
  <c r="AF224" s="1"/>
  <c r="AG223" s="1"/>
  <c r="AA224"/>
  <c r="AB224" s="1"/>
  <c r="AH224"/>
  <c r="AI224" s="1"/>
  <c r="AH222"/>
  <c r="AI222" s="1"/>
  <c r="AJ221" s="1"/>
  <c r="AA222"/>
  <c r="AB222" s="1"/>
  <c r="AH225"/>
  <c r="AI225" s="1"/>
  <c r="AJ225" s="1"/>
  <c r="AE225"/>
  <c r="AF225" s="1"/>
  <c r="AA225"/>
  <c r="AB225" s="1"/>
  <c r="AC225" s="1"/>
  <c r="AE229"/>
  <c r="AF229" s="1"/>
  <c r="AG229" s="1"/>
  <c r="AH229"/>
  <c r="AI229" s="1"/>
  <c r="AJ229" s="1"/>
  <c r="AA229"/>
  <c r="AB229" s="1"/>
  <c r="AC229" s="1"/>
  <c r="AA228"/>
  <c r="AB228" s="1"/>
  <c r="AE228"/>
  <c r="AF228" s="1"/>
  <c r="AH228"/>
  <c r="AI228" s="1"/>
  <c r="AJ38"/>
  <c r="AJ118"/>
  <c r="AG97"/>
  <c r="AJ47"/>
  <c r="AJ79"/>
  <c r="AG178"/>
  <c r="AG30"/>
  <c r="AG29"/>
  <c r="AG45"/>
  <c r="AG46"/>
  <c r="AG61"/>
  <c r="AG62"/>
  <c r="AG78"/>
  <c r="AG77"/>
  <c r="AG94"/>
  <c r="AG93"/>
  <c r="AG109"/>
  <c r="AG110"/>
  <c r="AG157"/>
  <c r="AG206"/>
  <c r="AG41"/>
  <c r="AG42"/>
  <c r="AG57"/>
  <c r="AG58"/>
  <c r="AG73"/>
  <c r="AG74"/>
  <c r="AG89"/>
  <c r="AG90"/>
  <c r="AG105"/>
  <c r="AG106"/>
  <c r="AG122"/>
  <c r="AG138"/>
  <c r="AG154"/>
  <c r="AG170"/>
  <c r="AG202"/>
  <c r="AG218"/>
  <c r="AG38"/>
  <c r="AG37"/>
  <c r="AG54"/>
  <c r="AG53"/>
  <c r="AG70"/>
  <c r="AG69"/>
  <c r="AG86"/>
  <c r="AG85"/>
  <c r="AG102"/>
  <c r="AG101"/>
  <c r="AG118"/>
  <c r="AG117"/>
  <c r="AJ138"/>
  <c r="AJ75"/>
  <c r="AJ203"/>
  <c r="AJ154"/>
  <c r="AJ71"/>
  <c r="AJ219"/>
  <c r="AJ90"/>
  <c r="AJ42"/>
  <c r="AJ66"/>
  <c r="AJ86"/>
  <c r="AJ106"/>
  <c r="AJ170"/>
  <c r="AC143" i="8" l="1"/>
  <c r="Z201"/>
  <c r="AC123"/>
  <c r="AC191"/>
  <c r="Z191"/>
  <c r="AC188"/>
  <c r="AC138"/>
  <c r="Z160"/>
  <c r="AC133"/>
  <c r="Y24"/>
  <c r="H6" s="1"/>
  <c r="AC152"/>
  <c r="AC187"/>
  <c r="AC141"/>
  <c r="Z144"/>
  <c r="Z202"/>
  <c r="Z130"/>
  <c r="Z140"/>
  <c r="AC201"/>
  <c r="AC176"/>
  <c r="AC185"/>
  <c r="Z178"/>
  <c r="AC129"/>
  <c r="AC149"/>
  <c r="AC145"/>
  <c r="Z174"/>
  <c r="Z165"/>
  <c r="AC190"/>
  <c r="Z156"/>
  <c r="Z185"/>
  <c r="Z190"/>
  <c r="AC156"/>
  <c r="AC178"/>
  <c r="AC173"/>
  <c r="Z148"/>
  <c r="AC177"/>
  <c r="Z194"/>
  <c r="AC160"/>
  <c r="Z171"/>
  <c r="AC171"/>
  <c r="Z138"/>
  <c r="Z152"/>
  <c r="Z189"/>
  <c r="Z133"/>
  <c r="AC120"/>
  <c r="Z177"/>
  <c r="AC194"/>
  <c r="Z159"/>
  <c r="Z146"/>
  <c r="AC147"/>
  <c r="AC146"/>
  <c r="Z175"/>
  <c r="AC165"/>
  <c r="AC124"/>
  <c r="Z142"/>
  <c r="AN25" i="6"/>
  <c r="K17" s="1"/>
  <c r="AJ24"/>
  <c r="K16" s="1"/>
  <c r="K6"/>
  <c r="K5"/>
  <c r="AF130"/>
  <c r="AF143"/>
  <c r="AC134"/>
  <c r="AF141"/>
  <c r="AF152"/>
  <c r="AF134"/>
  <c r="AC130"/>
  <c r="AF149"/>
  <c r="AF137"/>
  <c r="AF147"/>
  <c r="AC129"/>
  <c r="AC137"/>
  <c r="AC135"/>
  <c r="AF129"/>
  <c r="AF135"/>
  <c r="BR19" i="5"/>
  <c r="BR24"/>
  <c r="K22" s="1"/>
  <c r="BB24"/>
  <c r="K17" s="1"/>
  <c r="M17" s="1"/>
  <c r="BM19"/>
  <c r="K18" s="1"/>
  <c r="BW25"/>
  <c r="K23" s="1"/>
  <c r="M21" s="1"/>
  <c r="AW24"/>
  <c r="Z322"/>
  <c r="AM321"/>
  <c r="AK322"/>
  <c r="AK283"/>
  <c r="AK282"/>
  <c r="Z325"/>
  <c r="AK325"/>
  <c r="AM325"/>
  <c r="AM286"/>
  <c r="AK319"/>
  <c r="AM275"/>
  <c r="Z279"/>
  <c r="AK321"/>
  <c r="AK275"/>
  <c r="AK274"/>
  <c r="Z309"/>
  <c r="AK309"/>
  <c r="AM309"/>
  <c r="AM278"/>
  <c r="AM283"/>
  <c r="AM279"/>
  <c r="AK278"/>
  <c r="AM322"/>
  <c r="AT84"/>
  <c r="AT136"/>
  <c r="AT133"/>
  <c r="Z316"/>
  <c r="AK316"/>
  <c r="AK315"/>
  <c r="AM316"/>
  <c r="Z312"/>
  <c r="AM312"/>
  <c r="AK312"/>
  <c r="Z328"/>
  <c r="AK328"/>
  <c r="AM328"/>
  <c r="Z308"/>
  <c r="AM308"/>
  <c r="AK308"/>
  <c r="AK25" s="1"/>
  <c r="K8" s="1"/>
  <c r="M8" s="1"/>
  <c r="Z324"/>
  <c r="AK324"/>
  <c r="AM324"/>
  <c r="AG218"/>
  <c r="AC227"/>
  <c r="AK287"/>
  <c r="AK286"/>
  <c r="Z320"/>
  <c r="AM320"/>
  <c r="AK320"/>
  <c r="AJ210"/>
  <c r="AG172"/>
  <c r="AC195"/>
  <c r="AJ177"/>
  <c r="AJ139"/>
  <c r="AJ213"/>
  <c r="AG205"/>
  <c r="AC211"/>
  <c r="AC207"/>
  <c r="AJ223"/>
  <c r="AG223"/>
  <c r="AC218"/>
  <c r="AG203"/>
  <c r="AC172"/>
  <c r="AG156"/>
  <c r="AT34"/>
  <c r="AJ215"/>
  <c r="AC133"/>
  <c r="AJ207"/>
  <c r="AG207"/>
  <c r="AC223"/>
  <c r="AC139"/>
  <c r="AG170"/>
  <c r="AG165"/>
  <c r="AT67"/>
  <c r="K19"/>
  <c r="BS20"/>
  <c r="BI25"/>
  <c r="K20"/>
  <c r="K16"/>
  <c r="M16" s="1"/>
  <c r="AX25"/>
  <c r="M20"/>
  <c r="M22"/>
  <c r="BC25"/>
  <c r="AC204"/>
  <c r="AC165"/>
  <c r="AG154"/>
  <c r="AT42"/>
  <c r="AG123"/>
  <c r="AC145"/>
  <c r="AJ145"/>
  <c r="AG129"/>
  <c r="AJ203"/>
  <c r="AJ164"/>
  <c r="AJ159"/>
  <c r="AC215"/>
  <c r="AC186"/>
  <c r="AJ137"/>
  <c r="AG214"/>
  <c r="AJ170"/>
  <c r="AG226"/>
  <c r="AT83"/>
  <c r="AT30"/>
  <c r="AJ128"/>
  <c r="AC159"/>
  <c r="AC177"/>
  <c r="AJ187"/>
  <c r="AT76"/>
  <c r="AG139"/>
  <c r="AC137"/>
  <c r="AT63"/>
  <c r="AT125"/>
  <c r="AT46"/>
  <c r="AG191"/>
  <c r="AG190"/>
  <c r="AT131"/>
  <c r="AT132"/>
  <c r="AC190"/>
  <c r="AC191"/>
  <c r="AT135"/>
  <c r="AT134"/>
  <c r="AC222"/>
  <c r="AC132"/>
  <c r="AT75"/>
  <c r="AJ172"/>
  <c r="AG159"/>
  <c r="AG215"/>
  <c r="AC136"/>
  <c r="AT59"/>
  <c r="AJ133"/>
  <c r="AC213"/>
  <c r="AC169"/>
  <c r="AJ226"/>
  <c r="BM24"/>
  <c r="AT79"/>
  <c r="AT127"/>
  <c r="AC192"/>
  <c r="AS29" i="1"/>
  <c r="AT29" s="1"/>
  <c r="AR24" s="1"/>
  <c r="AD25"/>
  <c r="K6" s="1"/>
  <c r="M6" s="1"/>
  <c r="BM19"/>
  <c r="K18" s="1"/>
  <c r="BH24"/>
  <c r="BR19"/>
  <c r="BN20"/>
  <c r="BS25"/>
  <c r="AR10"/>
  <c r="M7" s="1"/>
  <c r="AR9"/>
  <c r="AC162"/>
  <c r="AG179"/>
  <c r="AG205"/>
  <c r="AG217"/>
  <c r="AJ150"/>
  <c r="BB24"/>
  <c r="AJ228"/>
  <c r="AJ214"/>
  <c r="AG125"/>
  <c r="AJ134"/>
  <c r="AG126"/>
  <c r="AC150"/>
  <c r="AG210"/>
  <c r="BM24"/>
  <c r="K21" s="1"/>
  <c r="AG141"/>
  <c r="AC206"/>
  <c r="AG221"/>
  <c r="AG169"/>
  <c r="AG173"/>
  <c r="AG194"/>
  <c r="AG129"/>
  <c r="AG142"/>
  <c r="AC182"/>
  <c r="AJ183"/>
  <c r="AC142"/>
  <c r="AJ192"/>
  <c r="AG158"/>
  <c r="AG130"/>
  <c r="AJ198"/>
  <c r="AJ159"/>
  <c r="AC158"/>
  <c r="AJ127"/>
  <c r="AG186"/>
  <c r="AG153"/>
  <c r="AG174"/>
  <c r="AG121"/>
  <c r="AG146"/>
  <c r="AG193"/>
  <c r="AJ208"/>
  <c r="AG177"/>
  <c r="AJ130"/>
  <c r="AG201"/>
  <c r="AG197"/>
  <c r="AC190"/>
  <c r="AW24"/>
  <c r="K16" s="1"/>
  <c r="M16" s="1"/>
  <c r="AG136"/>
  <c r="AG137"/>
  <c r="AG145"/>
  <c r="AJ168"/>
  <c r="AG166"/>
  <c r="AJ187"/>
  <c r="AJ186"/>
  <c r="AG165"/>
  <c r="AG162"/>
  <c r="AC178"/>
  <c r="AG209"/>
  <c r="AG185"/>
  <c r="AG134"/>
  <c r="AC130"/>
  <c r="AG198"/>
  <c r="AG133"/>
  <c r="AG161"/>
  <c r="AC126"/>
  <c r="AC147"/>
  <c r="AJ216"/>
  <c r="AJ211"/>
  <c r="AJ210"/>
  <c r="AC200"/>
  <c r="AC201"/>
  <c r="AJ213"/>
  <c r="AJ212"/>
  <c r="AC181"/>
  <c r="AC180"/>
  <c r="AC168"/>
  <c r="AC169"/>
  <c r="AC145"/>
  <c r="AC144"/>
  <c r="AJ129"/>
  <c r="AJ128"/>
  <c r="AC204"/>
  <c r="AC205"/>
  <c r="AC177"/>
  <c r="AC176"/>
  <c r="AC173"/>
  <c r="AC172"/>
  <c r="AC141"/>
  <c r="AC140"/>
  <c r="AG182"/>
  <c r="AJ147"/>
  <c r="AJ146"/>
  <c r="AJ166"/>
  <c r="AJ167"/>
  <c r="AC184"/>
  <c r="AC185"/>
  <c r="AG212"/>
  <c r="AG213"/>
  <c r="AJ196"/>
  <c r="AJ197"/>
  <c r="AJ160"/>
  <c r="AJ161"/>
  <c r="AJ152"/>
  <c r="AJ153"/>
  <c r="AC137"/>
  <c r="AC136"/>
  <c r="AJ121"/>
  <c r="AJ120"/>
  <c r="AJ142"/>
  <c r="AJ143"/>
  <c r="AC209"/>
  <c r="AC208"/>
  <c r="AC164"/>
  <c r="AC165"/>
  <c r="AJ157"/>
  <c r="AJ156"/>
  <c r="AJ148"/>
  <c r="AJ149"/>
  <c r="AC132"/>
  <c r="AC133"/>
  <c r="AJ124"/>
  <c r="AJ125"/>
  <c r="AJ200"/>
  <c r="AC198"/>
  <c r="AC134"/>
  <c r="AG214"/>
  <c r="AC213"/>
  <c r="AC212"/>
  <c r="AJ180"/>
  <c r="AJ181"/>
  <c r="AC161"/>
  <c r="AC160"/>
  <c r="AJ144"/>
  <c r="AJ145"/>
  <c r="AJ179"/>
  <c r="AJ178"/>
  <c r="AC189"/>
  <c r="AC188"/>
  <c r="AJ172"/>
  <c r="AJ173"/>
  <c r="AC156"/>
  <c r="AC157"/>
  <c r="AG148"/>
  <c r="AG149"/>
  <c r="AJ140"/>
  <c r="AJ141"/>
  <c r="AC125"/>
  <c r="AC124"/>
  <c r="AJ163"/>
  <c r="AJ162"/>
  <c r="AJ227"/>
  <c r="AC210"/>
  <c r="AC146"/>
  <c r="AC214"/>
  <c r="AJ184"/>
  <c r="AJ188"/>
  <c r="AJ190"/>
  <c r="AJ191"/>
  <c r="AC196"/>
  <c r="AC197"/>
  <c r="AG181"/>
  <c r="AG180"/>
  <c r="AC153"/>
  <c r="AC152"/>
  <c r="AJ136"/>
  <c r="AJ137"/>
  <c r="AC120"/>
  <c r="AC121"/>
  <c r="AJ195"/>
  <c r="AJ194"/>
  <c r="AJ176"/>
  <c r="AJ177"/>
  <c r="AC216"/>
  <c r="AC217"/>
  <c r="AC193"/>
  <c r="AC192"/>
  <c r="AJ165"/>
  <c r="AJ164"/>
  <c r="AC149"/>
  <c r="AC148"/>
  <c r="AJ133"/>
  <c r="AJ132"/>
  <c r="AC166"/>
  <c r="AG190"/>
  <c r="AG150"/>
  <c r="AK277"/>
  <c r="AM277"/>
  <c r="Z277"/>
  <c r="Z635"/>
  <c r="AK635"/>
  <c r="AM635"/>
  <c r="AM613"/>
  <c r="Z613"/>
  <c r="AK613"/>
  <c r="Z592"/>
  <c r="AM592"/>
  <c r="AK592"/>
  <c r="AM571"/>
  <c r="Z571"/>
  <c r="AK571"/>
  <c r="AM549"/>
  <c r="AK549"/>
  <c r="Z549"/>
  <c r="Z528"/>
  <c r="AM528"/>
  <c r="AK528"/>
  <c r="AM507"/>
  <c r="Z507"/>
  <c r="AK507"/>
  <c r="AK485"/>
  <c r="AM485"/>
  <c r="Z485"/>
  <c r="Z464"/>
  <c r="AK464"/>
  <c r="AM464"/>
  <c r="AK443"/>
  <c r="AM443"/>
  <c r="Z443"/>
  <c r="AK421"/>
  <c r="AM421"/>
  <c r="Z421"/>
  <c r="Z400"/>
  <c r="AK400"/>
  <c r="AM400"/>
  <c r="AK379"/>
  <c r="AM379"/>
  <c r="Z379"/>
  <c r="AK357"/>
  <c r="AM357"/>
  <c r="Z357"/>
  <c r="Z336"/>
  <c r="AK336"/>
  <c r="AM336"/>
  <c r="AK315"/>
  <c r="AM315"/>
  <c r="Z315"/>
  <c r="AK293"/>
  <c r="AM293"/>
  <c r="Z293"/>
  <c r="AK273"/>
  <c r="AM273"/>
  <c r="Z273"/>
  <c r="Z631"/>
  <c r="AM631"/>
  <c r="AK631"/>
  <c r="AM609"/>
  <c r="Z609"/>
  <c r="AK609"/>
  <c r="AM588"/>
  <c r="Z588"/>
  <c r="AK588"/>
  <c r="AM567"/>
  <c r="Z567"/>
  <c r="AK567"/>
  <c r="AM545"/>
  <c r="AK545"/>
  <c r="Z545"/>
  <c r="Z524"/>
  <c r="AM524"/>
  <c r="AK524"/>
  <c r="AK503"/>
  <c r="Z503"/>
  <c r="AM503"/>
  <c r="AK481"/>
  <c r="AM481"/>
  <c r="Z481"/>
  <c r="AK460"/>
  <c r="Z460"/>
  <c r="AM460"/>
  <c r="AK439"/>
  <c r="AM439"/>
  <c r="Z439"/>
  <c r="AK417"/>
  <c r="AM417"/>
  <c r="Z417"/>
  <c r="AK396"/>
  <c r="Z396"/>
  <c r="AM396"/>
  <c r="AK375"/>
  <c r="AM375"/>
  <c r="Z375"/>
  <c r="AK353"/>
  <c r="AM353"/>
  <c r="Z353"/>
  <c r="AK332"/>
  <c r="Z332"/>
  <c r="AM332"/>
  <c r="AK311"/>
  <c r="AM311"/>
  <c r="Z311"/>
  <c r="AK289"/>
  <c r="AM289"/>
  <c r="Z289"/>
  <c r="Z648"/>
  <c r="AK648"/>
  <c r="AM648"/>
  <c r="Z627"/>
  <c r="AM627"/>
  <c r="AK627"/>
  <c r="AM605"/>
  <c r="Z605"/>
  <c r="AK605"/>
  <c r="AM584"/>
  <c r="Z584"/>
  <c r="AK584"/>
  <c r="AM563"/>
  <c r="Z563"/>
  <c r="AK563"/>
  <c r="AM541"/>
  <c r="AK541"/>
  <c r="Z541"/>
  <c r="Z520"/>
  <c r="AM520"/>
  <c r="AK520"/>
  <c r="AK499"/>
  <c r="Z499"/>
  <c r="AM499"/>
  <c r="AK477"/>
  <c r="AM477"/>
  <c r="Z477"/>
  <c r="Z456"/>
  <c r="AK456"/>
  <c r="AM456"/>
  <c r="AK435"/>
  <c r="AM435"/>
  <c r="Z435"/>
  <c r="AK413"/>
  <c r="AM413"/>
  <c r="Z413"/>
  <c r="Z392"/>
  <c r="AK392"/>
  <c r="AM392"/>
  <c r="AK371"/>
  <c r="AM371"/>
  <c r="Z371"/>
  <c r="AK349"/>
  <c r="AM349"/>
  <c r="Z349"/>
  <c r="Z328"/>
  <c r="AK328"/>
  <c r="AM328"/>
  <c r="AK307"/>
  <c r="AM307"/>
  <c r="Z307"/>
  <c r="AK285"/>
  <c r="AM285"/>
  <c r="Z285"/>
  <c r="Z644"/>
  <c r="AM644"/>
  <c r="AK644"/>
  <c r="Z623"/>
  <c r="AM623"/>
  <c r="AK623"/>
  <c r="AM601"/>
  <c r="Z601"/>
  <c r="AK601"/>
  <c r="AM580"/>
  <c r="Z580"/>
  <c r="AK580"/>
  <c r="AM559"/>
  <c r="Z559"/>
  <c r="AK559"/>
  <c r="AM537"/>
  <c r="AK537"/>
  <c r="Z537"/>
  <c r="Z516"/>
  <c r="AM516"/>
  <c r="AK516"/>
  <c r="AK495"/>
  <c r="Z495"/>
  <c r="AM495"/>
  <c r="AK473"/>
  <c r="AM473"/>
  <c r="Z473"/>
  <c r="AK452"/>
  <c r="Z452"/>
  <c r="AM452"/>
  <c r="AK431"/>
  <c r="AM431"/>
  <c r="Z431"/>
  <c r="AK409"/>
  <c r="AM409"/>
  <c r="Z409"/>
  <c r="AK388"/>
  <c r="Z388"/>
  <c r="AM388"/>
  <c r="AK367"/>
  <c r="AM367"/>
  <c r="Z367"/>
  <c r="AK345"/>
  <c r="AM345"/>
  <c r="Z345"/>
  <c r="AK324"/>
  <c r="Z324"/>
  <c r="AM324"/>
  <c r="AK303"/>
  <c r="AM303"/>
  <c r="Z303"/>
  <c r="AK281"/>
  <c r="AM281"/>
  <c r="Z281"/>
  <c r="AK271"/>
  <c r="AM271"/>
  <c r="Z271"/>
  <c r="Z634"/>
  <c r="AM634"/>
  <c r="AK634"/>
  <c r="Z618"/>
  <c r="AM618"/>
  <c r="AK618"/>
  <c r="Z602"/>
  <c r="AM602"/>
  <c r="AK602"/>
  <c r="AM586"/>
  <c r="Z586"/>
  <c r="AK586"/>
  <c r="AM570"/>
  <c r="Z570"/>
  <c r="AK570"/>
  <c r="AM554"/>
  <c r="Z554"/>
  <c r="AK554"/>
  <c r="Z538"/>
  <c r="AM538"/>
  <c r="AK538"/>
  <c r="Z522"/>
  <c r="AM522"/>
  <c r="AK522"/>
  <c r="Z506"/>
  <c r="AM506"/>
  <c r="AK506"/>
  <c r="Z490"/>
  <c r="AM490"/>
  <c r="AK490"/>
  <c r="Z474"/>
  <c r="AM474"/>
  <c r="AK474"/>
  <c r="Z458"/>
  <c r="AM458"/>
  <c r="AK458"/>
  <c r="Z442"/>
  <c r="AM442"/>
  <c r="AK442"/>
  <c r="Z426"/>
  <c r="AM426"/>
  <c r="AK426"/>
  <c r="Z410"/>
  <c r="AM410"/>
  <c r="AK410"/>
  <c r="Z394"/>
  <c r="AM394"/>
  <c r="AK394"/>
  <c r="Z378"/>
  <c r="AM378"/>
  <c r="AK378"/>
  <c r="Z362"/>
  <c r="AM362"/>
  <c r="AK362"/>
  <c r="Z346"/>
  <c r="AM346"/>
  <c r="AK346"/>
  <c r="Z330"/>
  <c r="AM330"/>
  <c r="AK330"/>
  <c r="Z314"/>
  <c r="AM314"/>
  <c r="AK314"/>
  <c r="Z298"/>
  <c r="AM298"/>
  <c r="AK298"/>
  <c r="Z282"/>
  <c r="AM282"/>
  <c r="AK282"/>
  <c r="AG224"/>
  <c r="AG225"/>
  <c r="AC223"/>
  <c r="AC224"/>
  <c r="Z640"/>
  <c r="AK640"/>
  <c r="AM640"/>
  <c r="AM619"/>
  <c r="Z619"/>
  <c r="AK619"/>
  <c r="AM597"/>
  <c r="Z597"/>
  <c r="AK597"/>
  <c r="AM576"/>
  <c r="Z576"/>
  <c r="AK576"/>
  <c r="AM555"/>
  <c r="Z555"/>
  <c r="AK555"/>
  <c r="AM533"/>
  <c r="AK533"/>
  <c r="Z533"/>
  <c r="Z512"/>
  <c r="AM512"/>
  <c r="AK512"/>
  <c r="AK491"/>
  <c r="Z491"/>
  <c r="AM491"/>
  <c r="AK469"/>
  <c r="AM469"/>
  <c r="Z469"/>
  <c r="Z448"/>
  <c r="AK448"/>
  <c r="AM448"/>
  <c r="AK427"/>
  <c r="AM427"/>
  <c r="Z427"/>
  <c r="AK405"/>
  <c r="AM405"/>
  <c r="Z405"/>
  <c r="Z384"/>
  <c r="AK384"/>
  <c r="AM384"/>
  <c r="AK363"/>
  <c r="AM363"/>
  <c r="Z363"/>
  <c r="AK341"/>
  <c r="AM341"/>
  <c r="Z341"/>
  <c r="Z320"/>
  <c r="AK320"/>
  <c r="AM320"/>
  <c r="AK299"/>
  <c r="AM299"/>
  <c r="Z299"/>
  <c r="AM278"/>
  <c r="Z278"/>
  <c r="AK278"/>
  <c r="Z636"/>
  <c r="AK636"/>
  <c r="AM636"/>
  <c r="AM615"/>
  <c r="Z615"/>
  <c r="AK615"/>
  <c r="AM593"/>
  <c r="Z593"/>
  <c r="AK593"/>
  <c r="AM572"/>
  <c r="Z572"/>
  <c r="AK572"/>
  <c r="AM551"/>
  <c r="Z551"/>
  <c r="AK551"/>
  <c r="AM529"/>
  <c r="Z529"/>
  <c r="AK529"/>
  <c r="Z508"/>
  <c r="AM508"/>
  <c r="AK508"/>
  <c r="AK487"/>
  <c r="Z487"/>
  <c r="AM487"/>
  <c r="AK465"/>
  <c r="AM465"/>
  <c r="Z465"/>
  <c r="AK444"/>
  <c r="Z444"/>
  <c r="AM444"/>
  <c r="AK423"/>
  <c r="AM423"/>
  <c r="Z423"/>
  <c r="AK401"/>
  <c r="AM401"/>
  <c r="Z401"/>
  <c r="AK380"/>
  <c r="Z380"/>
  <c r="AM380"/>
  <c r="AK359"/>
  <c r="AM359"/>
  <c r="Z359"/>
  <c r="AK337"/>
  <c r="AM337"/>
  <c r="Z337"/>
  <c r="AK316"/>
  <c r="Z316"/>
  <c r="AM316"/>
  <c r="AK295"/>
  <c r="AM295"/>
  <c r="Z295"/>
  <c r="Z274"/>
  <c r="AM274"/>
  <c r="AK274"/>
  <c r="Z632"/>
  <c r="AK632"/>
  <c r="AM632"/>
  <c r="AM611"/>
  <c r="Z611"/>
  <c r="AK611"/>
  <c r="AM589"/>
  <c r="Z589"/>
  <c r="AK589"/>
  <c r="AM568"/>
  <c r="Z568"/>
  <c r="AK568"/>
  <c r="AM547"/>
  <c r="Z547"/>
  <c r="AK547"/>
  <c r="AM525"/>
  <c r="Z525"/>
  <c r="AK525"/>
  <c r="Z504"/>
  <c r="AK504"/>
  <c r="AM504"/>
  <c r="AK483"/>
  <c r="Z483"/>
  <c r="AM483"/>
  <c r="AK461"/>
  <c r="AM461"/>
  <c r="Z461"/>
  <c r="Z440"/>
  <c r="AK440"/>
  <c r="AM440"/>
  <c r="AK419"/>
  <c r="AM419"/>
  <c r="Z419"/>
  <c r="AK397"/>
  <c r="AM397"/>
  <c r="Z397"/>
  <c r="Z376"/>
  <c r="AK376"/>
  <c r="AM376"/>
  <c r="AK355"/>
  <c r="AM355"/>
  <c r="Z355"/>
  <c r="AK333"/>
  <c r="AM333"/>
  <c r="Z333"/>
  <c r="Z312"/>
  <c r="AK312"/>
  <c r="AM312"/>
  <c r="AK291"/>
  <c r="AM291"/>
  <c r="Z291"/>
  <c r="Z628"/>
  <c r="AK628"/>
  <c r="AM628"/>
  <c r="AM607"/>
  <c r="Z607"/>
  <c r="AK607"/>
  <c r="AM585"/>
  <c r="Z585"/>
  <c r="AK585"/>
  <c r="AM564"/>
  <c r="Z564"/>
  <c r="AK564"/>
  <c r="AM543"/>
  <c r="Z543"/>
  <c r="AK543"/>
  <c r="AM521"/>
  <c r="Z521"/>
  <c r="AK521"/>
  <c r="AK500"/>
  <c r="Z500"/>
  <c r="AM500"/>
  <c r="AK479"/>
  <c r="Z479"/>
  <c r="AM479"/>
  <c r="AK457"/>
  <c r="AM457"/>
  <c r="Z457"/>
  <c r="AK436"/>
  <c r="Z436"/>
  <c r="AM436"/>
  <c r="AK415"/>
  <c r="AM415"/>
  <c r="Z415"/>
  <c r="AK393"/>
  <c r="AM393"/>
  <c r="Z393"/>
  <c r="AK372"/>
  <c r="Z372"/>
  <c r="AM372"/>
  <c r="AK351"/>
  <c r="AM351"/>
  <c r="Z351"/>
  <c r="AK329"/>
  <c r="AM329"/>
  <c r="Z329"/>
  <c r="AK308"/>
  <c r="Z308"/>
  <c r="AM308"/>
  <c r="AK287"/>
  <c r="AM287"/>
  <c r="Z287"/>
  <c r="AK275"/>
  <c r="AM275"/>
  <c r="Z275"/>
  <c r="Z638"/>
  <c r="AM638"/>
  <c r="AK638"/>
  <c r="AM622"/>
  <c r="Z622"/>
  <c r="AK622"/>
  <c r="Z606"/>
  <c r="AM606"/>
  <c r="AK606"/>
  <c r="AM590"/>
  <c r="Z590"/>
  <c r="AK590"/>
  <c r="AM574"/>
  <c r="Z574"/>
  <c r="AK574"/>
  <c r="AM558"/>
  <c r="Z558"/>
  <c r="AK558"/>
  <c r="Z542"/>
  <c r="AM542"/>
  <c r="AK542"/>
  <c r="Z526"/>
  <c r="AM526"/>
  <c r="AK526"/>
  <c r="Z510"/>
  <c r="AM510"/>
  <c r="AK510"/>
  <c r="AM494"/>
  <c r="Z494"/>
  <c r="AK494"/>
  <c r="AM478"/>
  <c r="Z478"/>
  <c r="AK478"/>
  <c r="AM462"/>
  <c r="Z462"/>
  <c r="AK462"/>
  <c r="AM446"/>
  <c r="Z446"/>
  <c r="AK446"/>
  <c r="AM430"/>
  <c r="Z430"/>
  <c r="AK430"/>
  <c r="AM414"/>
  <c r="Z414"/>
  <c r="AK414"/>
  <c r="AM398"/>
  <c r="Z398"/>
  <c r="AK398"/>
  <c r="AM382"/>
  <c r="Z382"/>
  <c r="AK382"/>
  <c r="AM366"/>
  <c r="Z366"/>
  <c r="AK366"/>
  <c r="AM350"/>
  <c r="Z350"/>
  <c r="AK350"/>
  <c r="AM334"/>
  <c r="Z334"/>
  <c r="AK334"/>
  <c r="AM318"/>
  <c r="Z318"/>
  <c r="AK318"/>
  <c r="AM302"/>
  <c r="Z302"/>
  <c r="AK302"/>
  <c r="AM286"/>
  <c r="Z286"/>
  <c r="AK286"/>
  <c r="AC228"/>
  <c r="AC227"/>
  <c r="AC222"/>
  <c r="AC221"/>
  <c r="AJ224"/>
  <c r="AJ223"/>
  <c r="Z645"/>
  <c r="AM645"/>
  <c r="AK645"/>
  <c r="Z624"/>
  <c r="AK624"/>
  <c r="AM624"/>
  <c r="AM603"/>
  <c r="Z603"/>
  <c r="AK603"/>
  <c r="AM581"/>
  <c r="Z581"/>
  <c r="AK581"/>
  <c r="AM560"/>
  <c r="Z560"/>
  <c r="AK560"/>
  <c r="AM539"/>
  <c r="Z539"/>
  <c r="AK539"/>
  <c r="AM517"/>
  <c r="Z517"/>
  <c r="AK517"/>
  <c r="Z496"/>
  <c r="AK496"/>
  <c r="AM496"/>
  <c r="AK475"/>
  <c r="AM475"/>
  <c r="Z475"/>
  <c r="AK453"/>
  <c r="AM453"/>
  <c r="Z453"/>
  <c r="Z432"/>
  <c r="AK432"/>
  <c r="AM432"/>
  <c r="AK411"/>
  <c r="AM411"/>
  <c r="Z411"/>
  <c r="AK389"/>
  <c r="AM389"/>
  <c r="Z389"/>
  <c r="Z368"/>
  <c r="AK368"/>
  <c r="AM368"/>
  <c r="AK347"/>
  <c r="AM347"/>
  <c r="Z347"/>
  <c r="AK325"/>
  <c r="AM325"/>
  <c r="Z325"/>
  <c r="Z304"/>
  <c r="AK304"/>
  <c r="AM304"/>
  <c r="AK283"/>
  <c r="AM283"/>
  <c r="Z283"/>
  <c r="Z641"/>
  <c r="AK641"/>
  <c r="AM641"/>
  <c r="AM620"/>
  <c r="Z620"/>
  <c r="AK620"/>
  <c r="AM599"/>
  <c r="Z599"/>
  <c r="AK599"/>
  <c r="AM577"/>
  <c r="Z577"/>
  <c r="AK577"/>
  <c r="AM556"/>
  <c r="Z556"/>
  <c r="AK556"/>
  <c r="AM535"/>
  <c r="Z535"/>
  <c r="AK535"/>
  <c r="AM513"/>
  <c r="Z513"/>
  <c r="AK513"/>
  <c r="AK492"/>
  <c r="Z492"/>
  <c r="AM492"/>
  <c r="AK471"/>
  <c r="AM471"/>
  <c r="Z471"/>
  <c r="AK449"/>
  <c r="AM449"/>
  <c r="Z449"/>
  <c r="AK428"/>
  <c r="Z428"/>
  <c r="AM428"/>
  <c r="AK407"/>
  <c r="AM407"/>
  <c r="Z407"/>
  <c r="AK385"/>
  <c r="AM385"/>
  <c r="Z385"/>
  <c r="AK364"/>
  <c r="Z364"/>
  <c r="AM364"/>
  <c r="AK343"/>
  <c r="AM343"/>
  <c r="Z343"/>
  <c r="AK321"/>
  <c r="AM321"/>
  <c r="Z321"/>
  <c r="AK300"/>
  <c r="Z300"/>
  <c r="AM300"/>
  <c r="Z280"/>
  <c r="AK280"/>
  <c r="AM280"/>
  <c r="Z637"/>
  <c r="AK637"/>
  <c r="AM637"/>
  <c r="Z616"/>
  <c r="AM616"/>
  <c r="AK616"/>
  <c r="AM595"/>
  <c r="Z595"/>
  <c r="AK595"/>
  <c r="AM573"/>
  <c r="Z573"/>
  <c r="AK573"/>
  <c r="AM552"/>
  <c r="Z552"/>
  <c r="AK552"/>
  <c r="AM531"/>
  <c r="Z531"/>
  <c r="AK531"/>
  <c r="AM509"/>
  <c r="Z509"/>
  <c r="AK509"/>
  <c r="Z488"/>
  <c r="AK488"/>
  <c r="AM488"/>
  <c r="AK467"/>
  <c r="AM467"/>
  <c r="Z467"/>
  <c r="AK445"/>
  <c r="AM445"/>
  <c r="Z445"/>
  <c r="Z424"/>
  <c r="AK424"/>
  <c r="AM424"/>
  <c r="AK403"/>
  <c r="AM403"/>
  <c r="Z403"/>
  <c r="AK381"/>
  <c r="AM381"/>
  <c r="Z381"/>
  <c r="Z360"/>
  <c r="AK360"/>
  <c r="AM360"/>
  <c r="AK339"/>
  <c r="AM339"/>
  <c r="Z339"/>
  <c r="AK317"/>
  <c r="AM317"/>
  <c r="Z317"/>
  <c r="Z296"/>
  <c r="AK296"/>
  <c r="AM296"/>
  <c r="AK276"/>
  <c r="Z276"/>
  <c r="AM276"/>
  <c r="Z633"/>
  <c r="AM633"/>
  <c r="AK633"/>
  <c r="Z612"/>
  <c r="AM612"/>
  <c r="AK612"/>
  <c r="AM591"/>
  <c r="Z591"/>
  <c r="AK591"/>
  <c r="AM569"/>
  <c r="Z569"/>
  <c r="AK569"/>
  <c r="Z548"/>
  <c r="AM548"/>
  <c r="AK548"/>
  <c r="AM527"/>
  <c r="Z527"/>
  <c r="AK527"/>
  <c r="AK505"/>
  <c r="AM505"/>
  <c r="Z505"/>
  <c r="AK484"/>
  <c r="Z484"/>
  <c r="AM484"/>
  <c r="AK463"/>
  <c r="AM463"/>
  <c r="Z463"/>
  <c r="AK441"/>
  <c r="AM441"/>
  <c r="Z441"/>
  <c r="AK420"/>
  <c r="Z420"/>
  <c r="AM420"/>
  <c r="AK399"/>
  <c r="AM399"/>
  <c r="Z399"/>
  <c r="AK377"/>
  <c r="AM377"/>
  <c r="Z377"/>
  <c r="AK356"/>
  <c r="Z356"/>
  <c r="AM356"/>
  <c r="AK335"/>
  <c r="AM335"/>
  <c r="Z335"/>
  <c r="AK313"/>
  <c r="AM313"/>
  <c r="Z313"/>
  <c r="AK292"/>
  <c r="Z292"/>
  <c r="AM292"/>
  <c r="AK279"/>
  <c r="AM279"/>
  <c r="Z279"/>
  <c r="Z642"/>
  <c r="AM642"/>
  <c r="AK642"/>
  <c r="Z626"/>
  <c r="AM626"/>
  <c r="AK626"/>
  <c r="Z610"/>
  <c r="AM610"/>
  <c r="AK610"/>
  <c r="Z594"/>
  <c r="AM594"/>
  <c r="AK594"/>
  <c r="AM578"/>
  <c r="Z578"/>
  <c r="AK578"/>
  <c r="AM562"/>
  <c r="Z562"/>
  <c r="AK562"/>
  <c r="Z546"/>
  <c r="AM546"/>
  <c r="AK546"/>
  <c r="Z530"/>
  <c r="AM530"/>
  <c r="AK530"/>
  <c r="Z514"/>
  <c r="AM514"/>
  <c r="AK514"/>
  <c r="Z498"/>
  <c r="AM498"/>
  <c r="AK498"/>
  <c r="Z482"/>
  <c r="AM482"/>
  <c r="AK482"/>
  <c r="Z466"/>
  <c r="AM466"/>
  <c r="AK466"/>
  <c r="Z450"/>
  <c r="AM450"/>
  <c r="AK450"/>
  <c r="Z434"/>
  <c r="AM434"/>
  <c r="AK434"/>
  <c r="Z418"/>
  <c r="AM418"/>
  <c r="AK418"/>
  <c r="Z402"/>
  <c r="AM402"/>
  <c r="AK402"/>
  <c r="Z386"/>
  <c r="AM386"/>
  <c r="AK386"/>
  <c r="Z370"/>
  <c r="AM370"/>
  <c r="AK370"/>
  <c r="Z354"/>
  <c r="AM354"/>
  <c r="AK354"/>
  <c r="Z338"/>
  <c r="AM338"/>
  <c r="AK338"/>
  <c r="Z322"/>
  <c r="AM322"/>
  <c r="AK322"/>
  <c r="Z306"/>
  <c r="AM306"/>
  <c r="AK306"/>
  <c r="Z290"/>
  <c r="AM290"/>
  <c r="AK290"/>
  <c r="AJ222"/>
  <c r="AG227"/>
  <c r="AG228"/>
  <c r="Z272"/>
  <c r="AK272"/>
  <c r="AM272"/>
  <c r="Z629"/>
  <c r="AK629"/>
  <c r="AM629"/>
  <c r="Z608"/>
  <c r="AM608"/>
  <c r="AK608"/>
  <c r="AM587"/>
  <c r="Z587"/>
  <c r="AK587"/>
  <c r="AM565"/>
  <c r="Z565"/>
  <c r="AK565"/>
  <c r="Z544"/>
  <c r="AM544"/>
  <c r="AK544"/>
  <c r="AM523"/>
  <c r="Z523"/>
  <c r="AK523"/>
  <c r="AK501"/>
  <c r="AM501"/>
  <c r="Z501"/>
  <c r="Z480"/>
  <c r="AK480"/>
  <c r="AM480"/>
  <c r="AK459"/>
  <c r="AM459"/>
  <c r="Z459"/>
  <c r="AK437"/>
  <c r="AM437"/>
  <c r="Z437"/>
  <c r="Z416"/>
  <c r="AK416"/>
  <c r="AM416"/>
  <c r="AK395"/>
  <c r="AM395"/>
  <c r="Z395"/>
  <c r="AK373"/>
  <c r="AM373"/>
  <c r="Z373"/>
  <c r="Z352"/>
  <c r="AK352"/>
  <c r="AM352"/>
  <c r="AK331"/>
  <c r="AM331"/>
  <c r="Z331"/>
  <c r="AK309"/>
  <c r="AM309"/>
  <c r="Z309"/>
  <c r="Z288"/>
  <c r="AK288"/>
  <c r="AM288"/>
  <c r="Z647"/>
  <c r="AM647"/>
  <c r="AK647"/>
  <c r="Z625"/>
  <c r="AM625"/>
  <c r="AK625"/>
  <c r="Z604"/>
  <c r="AM604"/>
  <c r="AK604"/>
  <c r="AM583"/>
  <c r="Z583"/>
  <c r="AK583"/>
  <c r="AM561"/>
  <c r="Z561"/>
  <c r="AK561"/>
  <c r="Z540"/>
  <c r="AM540"/>
  <c r="AK540"/>
  <c r="AM519"/>
  <c r="Z519"/>
  <c r="AK519"/>
  <c r="AK497"/>
  <c r="AM497"/>
  <c r="Z497"/>
  <c r="AK476"/>
  <c r="Z476"/>
  <c r="AM476"/>
  <c r="AK455"/>
  <c r="AM455"/>
  <c r="Z455"/>
  <c r="AK433"/>
  <c r="AM433"/>
  <c r="Z433"/>
  <c r="AK412"/>
  <c r="Z412"/>
  <c r="AM412"/>
  <c r="AK391"/>
  <c r="AM391"/>
  <c r="Z391"/>
  <c r="AK369"/>
  <c r="AM369"/>
  <c r="Z369"/>
  <c r="AK348"/>
  <c r="Z348"/>
  <c r="AM348"/>
  <c r="AK327"/>
  <c r="AM327"/>
  <c r="Z327"/>
  <c r="AK305"/>
  <c r="AM305"/>
  <c r="Z305"/>
  <c r="AK284"/>
  <c r="Z284"/>
  <c r="AM284"/>
  <c r="Z643"/>
  <c r="AM643"/>
  <c r="AK643"/>
  <c r="AM621"/>
  <c r="Z621"/>
  <c r="AK621"/>
  <c r="Z600"/>
  <c r="AM600"/>
  <c r="AK600"/>
  <c r="AM579"/>
  <c r="Z579"/>
  <c r="AK579"/>
  <c r="AM557"/>
  <c r="Z557"/>
  <c r="AK557"/>
  <c r="Z536"/>
  <c r="AM536"/>
  <c r="AK536"/>
  <c r="AM515"/>
  <c r="Z515"/>
  <c r="AK515"/>
  <c r="AK493"/>
  <c r="AM493"/>
  <c r="Z493"/>
  <c r="Z472"/>
  <c r="AK472"/>
  <c r="AM472"/>
  <c r="AK451"/>
  <c r="AM451"/>
  <c r="Z451"/>
  <c r="AK429"/>
  <c r="AM429"/>
  <c r="Z429"/>
  <c r="Z408"/>
  <c r="AK408"/>
  <c r="AM408"/>
  <c r="AK387"/>
  <c r="AM387"/>
  <c r="Z387"/>
  <c r="AK365"/>
  <c r="AM365"/>
  <c r="Z365"/>
  <c r="Z344"/>
  <c r="AK344"/>
  <c r="AM344"/>
  <c r="AK323"/>
  <c r="AM323"/>
  <c r="Z323"/>
  <c r="AK301"/>
  <c r="AM301"/>
  <c r="Z301"/>
  <c r="AM270"/>
  <c r="Z270"/>
  <c r="AK270"/>
  <c r="AK269"/>
  <c r="AM269"/>
  <c r="Z639"/>
  <c r="AM639"/>
  <c r="AK639"/>
  <c r="AM617"/>
  <c r="Z617"/>
  <c r="AK617"/>
  <c r="Z596"/>
  <c r="AM596"/>
  <c r="AK596"/>
  <c r="AM575"/>
  <c r="Z575"/>
  <c r="AK575"/>
  <c r="AM553"/>
  <c r="Z553"/>
  <c r="AK553"/>
  <c r="Z532"/>
  <c r="AM532"/>
  <c r="AK532"/>
  <c r="AM511"/>
  <c r="Z511"/>
  <c r="AK511"/>
  <c r="AK489"/>
  <c r="AM489"/>
  <c r="Z489"/>
  <c r="AK468"/>
  <c r="Z468"/>
  <c r="AM468"/>
  <c r="AK447"/>
  <c r="AM447"/>
  <c r="Z447"/>
  <c r="AK425"/>
  <c r="AM425"/>
  <c r="Z425"/>
  <c r="AK404"/>
  <c r="Z404"/>
  <c r="AM404"/>
  <c r="AK383"/>
  <c r="AM383"/>
  <c r="Z383"/>
  <c r="AK361"/>
  <c r="AM361"/>
  <c r="Z361"/>
  <c r="AK340"/>
  <c r="Z340"/>
  <c r="AM340"/>
  <c r="AK319"/>
  <c r="AM319"/>
  <c r="Z319"/>
  <c r="AK297"/>
  <c r="AM297"/>
  <c r="Z297"/>
  <c r="Z646"/>
  <c r="AK646"/>
  <c r="AM646"/>
  <c r="Z630"/>
  <c r="AM630"/>
  <c r="AK630"/>
  <c r="Z614"/>
  <c r="AM614"/>
  <c r="AK614"/>
  <c r="Z598"/>
  <c r="AM598"/>
  <c r="AK598"/>
  <c r="AM582"/>
  <c r="Z582"/>
  <c r="AK582"/>
  <c r="AM566"/>
  <c r="Z566"/>
  <c r="AK566"/>
  <c r="Z550"/>
  <c r="AM550"/>
  <c r="AK550"/>
  <c r="Z534"/>
  <c r="AM534"/>
  <c r="AK534"/>
  <c r="Z518"/>
  <c r="AM518"/>
  <c r="AK518"/>
  <c r="AM502"/>
  <c r="Z502"/>
  <c r="AK502"/>
  <c r="AM486"/>
  <c r="Z486"/>
  <c r="AK486"/>
  <c r="AM470"/>
  <c r="Z470"/>
  <c r="AK470"/>
  <c r="AM454"/>
  <c r="Z454"/>
  <c r="AK454"/>
  <c r="AM438"/>
  <c r="Z438"/>
  <c r="AK438"/>
  <c r="AM422"/>
  <c r="Z422"/>
  <c r="AK422"/>
  <c r="AM406"/>
  <c r="Z406"/>
  <c r="AK406"/>
  <c r="AM390"/>
  <c r="Z390"/>
  <c r="AK390"/>
  <c r="AM374"/>
  <c r="Z374"/>
  <c r="AK374"/>
  <c r="AM358"/>
  <c r="Z358"/>
  <c r="AK358"/>
  <c r="AM342"/>
  <c r="Z342"/>
  <c r="AK342"/>
  <c r="AM326"/>
  <c r="Z326"/>
  <c r="AK326"/>
  <c r="AM310"/>
  <c r="Z310"/>
  <c r="AK310"/>
  <c r="AM294"/>
  <c r="Z294"/>
  <c r="AK294"/>
  <c r="H5" i="8" l="1"/>
  <c r="AB25"/>
  <c r="H7" s="1"/>
  <c r="M19" i="5"/>
  <c r="AB25" i="6"/>
  <c r="K19"/>
  <c r="K21" s="1"/>
  <c r="AE25"/>
  <c r="AK25"/>
  <c r="BS25" i="5"/>
  <c r="AM25"/>
  <c r="K9" s="1"/>
  <c r="M9" s="1"/>
  <c r="BN20"/>
  <c r="M18" s="1"/>
  <c r="AI25"/>
  <c r="K10" s="1"/>
  <c r="AF25"/>
  <c r="K7" s="1"/>
  <c r="AB25"/>
  <c r="K5" s="1"/>
  <c r="M5" s="1"/>
  <c r="K21"/>
  <c r="BN25"/>
  <c r="AR24"/>
  <c r="BC25" i="1"/>
  <c r="K17"/>
  <c r="M17" s="1"/>
  <c r="BI25"/>
  <c r="K20"/>
  <c r="AS25"/>
  <c r="K15"/>
  <c r="M15" s="1"/>
  <c r="BS20"/>
  <c r="K19"/>
  <c r="BN25"/>
  <c r="K23"/>
  <c r="M18" s="1"/>
  <c r="AX25"/>
  <c r="AF25"/>
  <c r="K7" s="1"/>
  <c r="AB25"/>
  <c r="K5" s="1"/>
  <c r="M5" s="1"/>
  <c r="AI25"/>
  <c r="K10" s="1"/>
  <c r="AK25"/>
  <c r="K8" s="1"/>
  <c r="M8" s="1"/>
  <c r="AM25"/>
  <c r="K9" s="1"/>
  <c r="H8" i="8" l="1"/>
  <c r="J8" s="1"/>
  <c r="H9"/>
  <c r="J9" s="1"/>
  <c r="AS25" i="5"/>
  <c r="K15"/>
  <c r="M15" s="1"/>
  <c r="M20" i="1"/>
  <c r="M21"/>
  <c r="M22"/>
  <c r="M19"/>
  <c r="M9"/>
</calcChain>
</file>

<file path=xl/sharedStrings.xml><?xml version="1.0" encoding="utf-8"?>
<sst xmlns="http://schemas.openxmlformats.org/spreadsheetml/2006/main" count="669" uniqueCount="127">
  <si>
    <t>Wavelength</t>
  </si>
  <si>
    <t>(nm)</t>
  </si>
  <si>
    <t>Irradiance</t>
  </si>
  <si>
    <t>(mW m-2 nm-1)</t>
  </si>
  <si>
    <t>Radiance</t>
  </si>
  <si>
    <t>(mW m-2 sr-1 nm-1)</t>
  </si>
  <si>
    <t>(au)</t>
  </si>
  <si>
    <t>Radiance 11mrad</t>
  </si>
  <si>
    <t>Actinic UV</t>
  </si>
  <si>
    <t>Blue Light</t>
  </si>
  <si>
    <t>Retinal Thermal</t>
  </si>
  <si>
    <t>Efficacy</t>
  </si>
  <si>
    <r>
      <t>CIE V(</t>
    </r>
    <r>
      <rPr>
        <b/>
        <sz val="11"/>
        <color theme="1"/>
        <rFont val="Verdana"/>
        <family val="2"/>
      </rPr>
      <t>λ</t>
    </r>
    <r>
      <rPr>
        <b/>
        <sz val="11"/>
        <color theme="1"/>
        <rFont val="Calibri"/>
        <family val="2"/>
        <scheme val="minor"/>
      </rPr>
      <t>)</t>
    </r>
  </si>
  <si>
    <t xml:space="preserve">Actinic UV Hazard </t>
  </si>
  <si>
    <t>Actinic UV Irradiance</t>
  </si>
  <si>
    <t>(mW.m-2)</t>
  </si>
  <si>
    <t>Actinc UV Integral</t>
  </si>
  <si>
    <t>Near UV Integral</t>
  </si>
  <si>
    <t>Blue Light Hazard</t>
  </si>
  <si>
    <t>Blue Light Irradiance</t>
  </si>
  <si>
    <t>Blue Light Integral</t>
  </si>
  <si>
    <t>Photopic Irradiance</t>
  </si>
  <si>
    <t>mW.m-2</t>
  </si>
  <si>
    <t>lx</t>
  </si>
  <si>
    <t>IR stitch</t>
  </si>
  <si>
    <t>Ratio</t>
  </si>
  <si>
    <t>IR Eye Integral</t>
  </si>
  <si>
    <t>Thermal Skin Integral</t>
  </si>
  <si>
    <t>Blue Light  Radiance</t>
  </si>
  <si>
    <t>Retinal Thermal Hazard</t>
  </si>
  <si>
    <t>Retinal Thermal Radiance</t>
  </si>
  <si>
    <t>Retinal Thermal Integral</t>
  </si>
  <si>
    <t>(mW.m-2.sr-1.nm-1)</t>
  </si>
  <si>
    <t>(mW.m-2.sr-1)</t>
  </si>
  <si>
    <t>Photopic Radiance</t>
  </si>
  <si>
    <t>cd.m-2</t>
  </si>
  <si>
    <t>mW.m-2.sr-1</t>
  </si>
  <si>
    <t>-</t>
  </si>
  <si>
    <t>Near UVA</t>
  </si>
  <si>
    <t>Blue Light Small Source</t>
  </si>
  <si>
    <t>IR Eye</t>
  </si>
  <si>
    <t>Thermal Skin</t>
  </si>
  <si>
    <t>illuminance</t>
  </si>
  <si>
    <t>Luminance</t>
  </si>
  <si>
    <t>Irradiance Results</t>
  </si>
  <si>
    <t>Radiance Results</t>
  </si>
  <si>
    <t>Hazard</t>
  </si>
  <si>
    <t>Value</t>
  </si>
  <si>
    <t>RG</t>
  </si>
  <si>
    <t xml:space="preserve"> -Standard to apply</t>
  </si>
  <si>
    <t>IEC62471</t>
  </si>
  <si>
    <t>pull down</t>
  </si>
  <si>
    <t>EN62471</t>
  </si>
  <si>
    <t>mm</t>
  </si>
  <si>
    <t>GLS</t>
  </si>
  <si>
    <t>non-GLS</t>
  </si>
  <si>
    <t xml:space="preserve"> -Measure horizontal dimension of source</t>
  </si>
  <si>
    <t xml:space="preserve"> -Measure vertical dimension of source</t>
  </si>
  <si>
    <t>x alpha</t>
  </si>
  <si>
    <t xml:space="preserve"> -Horizontal angular subtense</t>
  </si>
  <si>
    <t>mrad</t>
  </si>
  <si>
    <t>y alpha</t>
  </si>
  <si>
    <t xml:space="preserve"> -Vertical angular subtense</t>
  </si>
  <si>
    <t xml:space="preserve"> -Average angular subtense (limited)</t>
  </si>
  <si>
    <t xml:space="preserve"> -GLS/ non-GLS</t>
  </si>
  <si>
    <t>Small Source?</t>
  </si>
  <si>
    <t>average wv</t>
  </si>
  <si>
    <t>Radiance 1.7mrad</t>
  </si>
  <si>
    <t>Blue Light  Irradiance</t>
  </si>
  <si>
    <t>(mW.m-2.nm-1)</t>
  </si>
  <si>
    <t>Exempt</t>
  </si>
  <si>
    <t>RG1</t>
  </si>
  <si>
    <t>RG2</t>
  </si>
  <si>
    <t xml:space="preserve">Exempt </t>
  </si>
  <si>
    <t xml:space="preserve">Exempt WV </t>
  </si>
  <si>
    <t>35 mrad</t>
  </si>
  <si>
    <t>Retinal Thermal Irradiance</t>
  </si>
  <si>
    <t>Blue Light radiance</t>
  </si>
  <si>
    <t>N/A</t>
  </si>
  <si>
    <t>n/A</t>
  </si>
  <si>
    <t>Measurements</t>
  </si>
  <si>
    <t>Configuration</t>
  </si>
  <si>
    <t>Custom Wavlength Files</t>
  </si>
  <si>
    <t>FOV</t>
  </si>
  <si>
    <t>Irradiance_200_1100nm</t>
  </si>
  <si>
    <t>100 mrad</t>
  </si>
  <si>
    <t>Infrared</t>
  </si>
  <si>
    <t>Radiance_11mrad</t>
  </si>
  <si>
    <t>Radiance_1.7mrad</t>
  </si>
  <si>
    <r>
      <t>2</t>
    </r>
    <r>
      <rPr>
        <sz val="11"/>
        <color theme="1"/>
        <rFont val="Calibri"/>
        <family val="2"/>
      </rPr>
      <t>π</t>
    </r>
  </si>
  <si>
    <t>Irradiance in 100mrad</t>
  </si>
  <si>
    <t>Irradiance in 35mrad</t>
  </si>
  <si>
    <t>Relative IR measurement</t>
  </si>
  <si>
    <t>W.m-2</t>
  </si>
  <si>
    <t>W.m-2.sr-1</t>
  </si>
  <si>
    <t>W.m-2.sr-2</t>
  </si>
  <si>
    <t>W.m-2.sr-3</t>
  </si>
  <si>
    <t>Required based on source size?</t>
  </si>
  <si>
    <t>Values reported Benwin+</t>
  </si>
  <si>
    <t>Blue Light Exempt</t>
  </si>
  <si>
    <t>Blue Light RG1</t>
  </si>
  <si>
    <t>Blue Light RG2</t>
  </si>
  <si>
    <t>Result</t>
  </si>
  <si>
    <t>Retinal Thermal Exempt/RG1</t>
  </si>
  <si>
    <t>Retinal Thermal RG2</t>
  </si>
  <si>
    <t>Retinal Thermal Weak Visual Exempt</t>
  </si>
  <si>
    <t>Retinal Thermal Weak Visual RG1</t>
  </si>
  <si>
    <t>Retinal Thermal Weak Visual RG2</t>
  </si>
  <si>
    <t>Values reported PSL Wizard</t>
  </si>
  <si>
    <t>Information</t>
  </si>
  <si>
    <t xml:space="preserve"> -Primary light source or Luminaire</t>
  </si>
  <si>
    <t>Primary light source</t>
  </si>
  <si>
    <t>Luminaire</t>
  </si>
  <si>
    <t>IEC_TR_62778_Irradiance_300-780nm</t>
  </si>
  <si>
    <t>IEC_TR_62778_Radiance_11mrad</t>
  </si>
  <si>
    <t>Ethr</t>
  </si>
  <si>
    <t>Ip</t>
  </si>
  <si>
    <t>cd</t>
  </si>
  <si>
    <t>dthr</t>
  </si>
  <si>
    <t>m</t>
  </si>
  <si>
    <t>Actinic UV 200-400nm</t>
  </si>
  <si>
    <t>Actinic UV 200-315nm</t>
  </si>
  <si>
    <t>Illuminance</t>
  </si>
  <si>
    <t>mW.klm-1</t>
  </si>
  <si>
    <t>Effective UV 200-400nm</t>
  </si>
  <si>
    <t>Effective UV 200-315nm</t>
  </si>
  <si>
    <r>
      <t>Irradiance in 2</t>
    </r>
    <r>
      <rPr>
        <b/>
        <sz val="11"/>
        <rFont val="Calibri"/>
        <family val="2"/>
      </rPr>
      <t>π</t>
    </r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</si>
</sst>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00E+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0" xfId="0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4" fillId="0" borderId="0" xfId="0" applyFont="1" applyBorder="1"/>
    <xf numFmtId="0" fontId="0" fillId="0" borderId="7" xfId="0" applyBorder="1"/>
    <xf numFmtId="0" fontId="4" fillId="0" borderId="0" xfId="0" applyFont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Fill="1"/>
    <xf numFmtId="0" fontId="0" fillId="2" borderId="0" xfId="0" applyFill="1"/>
    <xf numFmtId="0" fontId="0" fillId="2" borderId="0" xfId="0" applyFont="1" applyFill="1"/>
    <xf numFmtId="0" fontId="4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0" borderId="3" xfId="0" applyFont="1" applyBorder="1"/>
    <xf numFmtId="0" fontId="1" fillId="0" borderId="4" xfId="0" applyFont="1" applyBorder="1"/>
    <xf numFmtId="0" fontId="6" fillId="0" borderId="4" xfId="0" applyFont="1" applyBorder="1"/>
    <xf numFmtId="0" fontId="1" fillId="0" borderId="6" xfId="0" applyFont="1" applyBorder="1"/>
    <xf numFmtId="0" fontId="1" fillId="0" borderId="0" xfId="0" applyFont="1" applyBorder="1" applyAlignment="1"/>
    <xf numFmtId="168" fontId="0" fillId="0" borderId="0" xfId="0" applyNumberFormat="1" applyBorder="1"/>
    <xf numFmtId="11" fontId="0" fillId="0" borderId="0" xfId="0" applyNumberFormat="1" applyBorder="1"/>
    <xf numFmtId="169" fontId="0" fillId="0" borderId="0" xfId="0" applyNumberFormat="1" applyBorder="1"/>
    <xf numFmtId="0" fontId="10" fillId="0" borderId="0" xfId="0" applyFont="1" applyBorder="1"/>
    <xf numFmtId="0" fontId="6" fillId="0" borderId="6" xfId="0" applyFont="1" applyBorder="1"/>
    <xf numFmtId="0" fontId="0" fillId="2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 applyBorder="1"/>
    <xf numFmtId="11" fontId="0" fillId="0" borderId="10" xfId="0" applyNumberFormat="1" applyBorder="1"/>
    <xf numFmtId="11" fontId="9" fillId="0" borderId="10" xfId="0" applyNumberFormat="1" applyFont="1" applyBorder="1"/>
    <xf numFmtId="0" fontId="1" fillId="0" borderId="0" xfId="0" applyFont="1" applyFill="1"/>
    <xf numFmtId="0" fontId="0" fillId="0" borderId="0" xfId="0" applyFont="1" applyFill="1"/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/>
    <xf numFmtId="0" fontId="6" fillId="0" borderId="0" xfId="0" applyFont="1" applyBorder="1"/>
    <xf numFmtId="11" fontId="9" fillId="0" borderId="0" xfId="0" applyNumberFormat="1" applyFont="1" applyBorder="1"/>
    <xf numFmtId="168" fontId="0" fillId="0" borderId="10" xfId="0" applyNumberForma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33617</xdr:colOff>
      <xdr:row>1</xdr:row>
      <xdr:rowOff>112060</xdr:rowOff>
    </xdr:from>
    <xdr:to>
      <xdr:col>22</xdr:col>
      <xdr:colOff>358587</xdr:colOff>
      <xdr:row>15</xdr:row>
      <xdr:rowOff>156882</xdr:rowOff>
    </xdr:to>
    <xdr:sp macro="" textlink="">
      <xdr:nvSpPr>
        <xdr:cNvPr id="2" name="TextBox 1"/>
        <xdr:cNvSpPr txBox="1"/>
      </xdr:nvSpPr>
      <xdr:spPr>
        <a:xfrm>
          <a:off x="20686058" y="313766"/>
          <a:ext cx="3541058" cy="274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smtClean="0">
              <a:solidFill>
                <a:srgbClr val="FF0000"/>
              </a:solidFill>
              <a:latin typeface="+mn-lt"/>
              <a:ea typeface="+mn-ea"/>
              <a:cs typeface="+mn-cs"/>
            </a:rPr>
            <a:t>PSL Wizard Report Page</a:t>
          </a:r>
        </a:p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UV Luminaire</a:t>
          </a:r>
        </a:p>
        <a:p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Integral IEC 61167 : 4.759 mW klm-1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</a:p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Classification : Fail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</a:p>
        <a:p>
          <a:endParaRPr lang="en-GB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Integral IEC 60598-1 : 4.738 mW klm-1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Classification : Fail</a:t>
          </a:r>
          <a:r>
            <a:rPr lang="en-GB"/>
            <a:t> </a:t>
          </a:r>
          <a:endParaRPr lang="en-GB" sz="11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257735</xdr:colOff>
      <xdr:row>1</xdr:row>
      <xdr:rowOff>22413</xdr:rowOff>
    </xdr:from>
    <xdr:to>
      <xdr:col>24</xdr:col>
      <xdr:colOff>560293</xdr:colOff>
      <xdr:row>9</xdr:row>
      <xdr:rowOff>112059</xdr:rowOff>
    </xdr:to>
    <xdr:sp macro="" textlink="">
      <xdr:nvSpPr>
        <xdr:cNvPr id="2" name="TextBox 1"/>
        <xdr:cNvSpPr txBox="1"/>
      </xdr:nvSpPr>
      <xdr:spPr>
        <a:xfrm>
          <a:off x="22086794" y="212913"/>
          <a:ext cx="1165411" cy="1624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smtClean="0">
              <a:solidFill>
                <a:srgbClr val="FF0000"/>
              </a:solidFill>
              <a:latin typeface="+mn-lt"/>
              <a:ea typeface="+mn-ea"/>
              <a:cs typeface="+mn-cs"/>
            </a:rPr>
            <a:t>PSL Wizard Report Page</a:t>
          </a:r>
        </a:p>
        <a:p>
          <a:endParaRPr lang="en-GB" sz="11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Blue Light IEC TR 62778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2E+04 W m-2 sr-1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RG2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Ethr : 927.19623 lx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dthr : 0.78 m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33617</xdr:colOff>
      <xdr:row>1</xdr:row>
      <xdr:rowOff>112060</xdr:rowOff>
    </xdr:from>
    <xdr:to>
      <xdr:col>25</xdr:col>
      <xdr:colOff>358587</xdr:colOff>
      <xdr:row>43</xdr:row>
      <xdr:rowOff>134471</xdr:rowOff>
    </xdr:to>
    <xdr:sp macro="" textlink="">
      <xdr:nvSpPr>
        <xdr:cNvPr id="2" name="TextBox 1"/>
        <xdr:cNvSpPr txBox="1"/>
      </xdr:nvSpPr>
      <xdr:spPr>
        <a:xfrm>
          <a:off x="22859999" y="302560"/>
          <a:ext cx="3541059" cy="8079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smtClean="0">
              <a:solidFill>
                <a:srgbClr val="FF0000"/>
              </a:solidFill>
              <a:latin typeface="+mn-lt"/>
              <a:ea typeface="+mn-ea"/>
              <a:cs typeface="+mn-cs"/>
            </a:rPr>
            <a:t>PSL Wizard Report Page</a:t>
          </a:r>
        </a:p>
        <a:p>
          <a:endParaRPr lang="en-GB" sz="11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From the hazards selected, lamp classification is: 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GROUP 2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Labelling should be: 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CAUTION. Possibly hazardous optical radiation emitted from this product. Do not stare at operating lamp. May be harmful to the eye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Actinic UV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0.10975 mW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273337.5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Near UV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0.00719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1391558.9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Blue Light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12959.61728 W m-2 sr-1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77.2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Group 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CAUTION. Possibly hazardous optical radiation emitted from this product. Do not stare at operating lamp. May be harmful to the eye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Retinal Thermal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127513.9616 W m-2 sr-1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1405900173.5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Infrared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0.15156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Thermal Skin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22.99013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Pass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Pass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33617</xdr:colOff>
      <xdr:row>1</xdr:row>
      <xdr:rowOff>112060</xdr:rowOff>
    </xdr:from>
    <xdr:to>
      <xdr:col>25</xdr:col>
      <xdr:colOff>358587</xdr:colOff>
      <xdr:row>49</xdr:row>
      <xdr:rowOff>168089</xdr:rowOff>
    </xdr:to>
    <xdr:sp macro="" textlink="">
      <xdr:nvSpPr>
        <xdr:cNvPr id="4" name="TextBox 3"/>
        <xdr:cNvSpPr txBox="1"/>
      </xdr:nvSpPr>
      <xdr:spPr>
        <a:xfrm>
          <a:off x="22859999" y="302560"/>
          <a:ext cx="3541059" cy="9256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smtClean="0">
              <a:solidFill>
                <a:srgbClr val="FF0000"/>
              </a:solidFill>
              <a:latin typeface="+mn-lt"/>
              <a:ea typeface="+mn-ea"/>
              <a:cs typeface="+mn-cs"/>
            </a:rPr>
            <a:t>PSL Wizard Report Page</a:t>
          </a:r>
        </a:p>
        <a:p>
          <a:endParaRPr lang="en-GB" sz="1100" b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From the hazards selected, lamp classification is: 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GROUP 2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Labelling should be: 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CAUTION. UV emitted from this product. Eye or skin irritation may result from exposure. Use appropriate shielding.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CAUTION. Possibly hazardous optical radiation emitted from this product. Do not stare at operating lamp. May be harmful to the eye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NOTICE IR emitted from this product. Use appropriate shielding or eye protection.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Actinic UV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29.73956 mW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1008.8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Group 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CAUTION. UV emitted from this product. Eye or skin irritation may result from exposure. Use appropriate shielding.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Near UV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0.77797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12854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Blue Light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19206.29275 W m-2 sr-1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52.1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Group 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CAUTION. Possibly hazardous optical radiation emitted from this product. Do not stare at operating lamp. May be harmful to the eye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Retinal Thermal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571039.07766 W m-2 sr-1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1874553088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Exempt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 Required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Infrared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134.40092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Exposure : 685.2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Group 1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NOTICE IR emitted from this product. Use appropriate shielding or eye protection.</a:t>
          </a:r>
        </a:p>
        <a:p>
          <a:endParaRPr lang="en-GB" sz="11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 u="sng" smtClean="0">
              <a:solidFill>
                <a:schemeClr val="dk1"/>
              </a:solidFill>
              <a:latin typeface="+mn-lt"/>
              <a:ea typeface="+mn-ea"/>
              <a:cs typeface="+mn-cs"/>
            </a:rPr>
            <a:t>Thermal Skin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Integral : 169.86615 W m-2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Classification : Pass</a:t>
          </a:r>
        </a:p>
        <a:p>
          <a:r>
            <a:rPr lang="en-GB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Label : Pass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649"/>
  <sheetViews>
    <sheetView tabSelected="1" zoomScale="85" zoomScaleNormal="85" workbookViewId="0">
      <selection activeCell="C27" sqref="C27"/>
    </sheetView>
  </sheetViews>
  <sheetFormatPr defaultRowHeight="15"/>
  <cols>
    <col min="1" max="1" width="10.140625" style="33" bestFit="1" customWidth="1"/>
    <col min="2" max="2" width="21.28515625" style="33" bestFit="1" customWidth="1"/>
    <col min="3" max="3" width="23.85546875" style="33" customWidth="1"/>
    <col min="4" max="4" width="23" style="33" bestFit="1" customWidth="1"/>
    <col min="5" max="5" width="11.85546875" style="35" bestFit="1" customWidth="1"/>
    <col min="6" max="6" width="20.42578125" style="35" customWidth="1"/>
    <col min="7" max="7" width="33.140625" style="35" customWidth="1"/>
    <col min="8" max="8" width="13.85546875" style="35" bestFit="1" customWidth="1"/>
    <col min="9" max="9" width="23.7109375" style="35" bestFit="1" customWidth="1"/>
    <col min="10" max="10" width="9.140625" style="35"/>
    <col min="11" max="11" width="14" style="35" customWidth="1"/>
    <col min="12" max="12" width="19" style="35" bestFit="1" customWidth="1"/>
    <col min="13" max="13" width="13.85546875" style="35" bestFit="1" customWidth="1"/>
    <col min="14" max="14" width="11.85546875" style="35" bestFit="1" customWidth="1"/>
    <col min="15" max="15" width="19.140625" style="35" bestFit="1" customWidth="1"/>
    <col min="16" max="16" width="17" style="35" customWidth="1"/>
    <col min="17" max="17" width="12.28515625" style="35" bestFit="1" customWidth="1"/>
    <col min="18" max="18" width="12.28515625" style="33" bestFit="1" customWidth="1"/>
    <col min="19" max="19" width="12" style="33" bestFit="1" customWidth="1"/>
    <col min="20" max="20" width="15.28515625" style="33" bestFit="1" customWidth="1"/>
    <col min="21" max="21" width="9.140625" style="33"/>
    <col min="22" max="22" width="12" style="33" bestFit="1" customWidth="1"/>
    <col min="23" max="23" width="15.28515625" style="33" bestFit="1" customWidth="1"/>
    <col min="24" max="24" width="17.28515625" style="33" bestFit="1" customWidth="1"/>
    <col min="25" max="25" width="19.85546875" style="33" bestFit="1" customWidth="1"/>
    <col min="26" max="26" width="17" style="33" bestFit="1" customWidth="1"/>
    <col min="27" max="27" width="12.28515625" style="33" bestFit="1" customWidth="1"/>
    <col min="28" max="28" width="18.42578125" style="33" bestFit="1" customWidth="1"/>
    <col min="29" max="29" width="12.28515625" style="33" bestFit="1" customWidth="1"/>
    <col min="30" max="30" width="9.140625" style="33"/>
    <col min="31" max="31" width="12" style="33" bestFit="1" customWidth="1"/>
    <col min="32" max="32" width="18.140625" style="33" bestFit="1" customWidth="1"/>
    <col min="33" max="33" width="16.42578125" style="33" bestFit="1" customWidth="1"/>
    <col min="34" max="34" width="19.5703125" style="33" bestFit="1" customWidth="1"/>
    <col min="35" max="36" width="12" style="33" customWidth="1"/>
    <col min="37" max="37" width="19.140625" style="33" bestFit="1" customWidth="1"/>
    <col min="38" max="38" width="16.42578125" style="33" bestFit="1" customWidth="1"/>
    <col min="39" max="39" width="19.5703125" style="33" bestFit="1" customWidth="1"/>
    <col min="40" max="40" width="17.28515625" style="33" bestFit="1" customWidth="1"/>
    <col min="41" max="48" width="17.28515625" style="33" customWidth="1"/>
    <col min="49" max="49" width="21.85546875" style="33" bestFit="1" customWidth="1"/>
    <col min="50" max="53" width="17.28515625" style="33" customWidth="1"/>
    <col min="54" max="54" width="21.85546875" style="33" bestFit="1" customWidth="1"/>
    <col min="55" max="55" width="23.85546875" style="33" bestFit="1" customWidth="1"/>
    <col min="56" max="56" width="22.7109375" style="33" bestFit="1" customWidth="1"/>
    <col min="57" max="62" width="22.7109375" style="33" customWidth="1"/>
    <col min="63" max="16384" width="9.140625" style="33"/>
  </cols>
  <sheetData>
    <row r="1" spans="2:33" ht="15.75" thickBot="1">
      <c r="E1" s="3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33" ht="15.75">
      <c r="B2" s="21" t="s">
        <v>80</v>
      </c>
      <c r="C2" s="13"/>
      <c r="E2" s="33"/>
      <c r="F2" s="5"/>
      <c r="G2" s="40" t="s">
        <v>44</v>
      </c>
      <c r="H2" s="41"/>
      <c r="I2" s="41"/>
      <c r="J2" s="41"/>
      <c r="K2" s="7"/>
      <c r="L2" s="42" t="s">
        <v>98</v>
      </c>
      <c r="M2" s="7"/>
      <c r="N2" s="7"/>
      <c r="O2" s="42" t="s">
        <v>108</v>
      </c>
      <c r="P2" s="8"/>
      <c r="Q2" s="5"/>
      <c r="R2" s="5"/>
      <c r="S2" s="5"/>
      <c r="T2" s="5"/>
      <c r="U2" s="5"/>
      <c r="V2" s="5"/>
    </row>
    <row r="3" spans="2:33">
      <c r="C3" s="18" t="s">
        <v>81</v>
      </c>
      <c r="D3" s="18" t="s">
        <v>82</v>
      </c>
      <c r="E3" s="18" t="s">
        <v>83</v>
      </c>
      <c r="F3" s="60"/>
      <c r="G3" s="43"/>
      <c r="H3" s="17"/>
      <c r="I3" s="17"/>
      <c r="J3" s="17"/>
      <c r="K3" s="5"/>
      <c r="L3" s="5"/>
      <c r="M3" s="5"/>
      <c r="N3" s="5"/>
      <c r="O3" s="5"/>
      <c r="P3" s="12"/>
      <c r="Q3" s="5"/>
      <c r="R3" s="5"/>
      <c r="S3" s="11"/>
      <c r="T3" s="11"/>
      <c r="U3" s="5"/>
      <c r="V3" s="5"/>
      <c r="AF3" s="5" t="s">
        <v>51</v>
      </c>
      <c r="AG3" s="5" t="s">
        <v>50</v>
      </c>
    </row>
    <row r="4" spans="2:33">
      <c r="C4" s="9" t="s">
        <v>2</v>
      </c>
      <c r="D4" s="9" t="s">
        <v>84</v>
      </c>
      <c r="E4" s="9" t="s">
        <v>89</v>
      </c>
      <c r="F4" s="15"/>
      <c r="G4" s="43" t="s">
        <v>46</v>
      </c>
      <c r="H4" s="44" t="s">
        <v>47</v>
      </c>
      <c r="I4" s="44"/>
      <c r="J4" s="17" t="s">
        <v>102</v>
      </c>
      <c r="K4" s="5"/>
      <c r="L4" s="5"/>
      <c r="M4" s="45"/>
      <c r="N4" s="5"/>
      <c r="O4" s="5"/>
      <c r="P4" s="12"/>
      <c r="Q4" s="5"/>
      <c r="R4" s="5"/>
      <c r="T4" s="5"/>
      <c r="U4" s="5"/>
      <c r="V4" s="5"/>
      <c r="AF4" s="5" t="s">
        <v>51</v>
      </c>
      <c r="AG4" s="5" t="s">
        <v>52</v>
      </c>
    </row>
    <row r="5" spans="2:33">
      <c r="B5" s="6"/>
      <c r="C5" s="9"/>
      <c r="D5" s="9"/>
      <c r="E5" s="9"/>
      <c r="F5" s="5"/>
      <c r="G5" s="10" t="s">
        <v>120</v>
      </c>
      <c r="H5" s="45">
        <f>Y23</f>
        <v>29.661147972617311</v>
      </c>
      <c r="I5" s="5" t="s">
        <v>22</v>
      </c>
      <c r="J5" s="5"/>
      <c r="K5" s="5"/>
      <c r="L5" s="61">
        <v>29.920400000000001</v>
      </c>
      <c r="M5" s="5" t="s">
        <v>93</v>
      </c>
      <c r="N5" s="5"/>
      <c r="O5" s="65">
        <v>29.92</v>
      </c>
      <c r="P5" s="12" t="s">
        <v>93</v>
      </c>
      <c r="Q5" s="5"/>
      <c r="R5" s="5"/>
      <c r="T5" s="5"/>
      <c r="U5" s="5"/>
      <c r="V5" s="5"/>
      <c r="AF5" s="5" t="s">
        <v>51</v>
      </c>
      <c r="AG5" s="5" t="s">
        <v>54</v>
      </c>
    </row>
    <row r="6" spans="2:33">
      <c r="C6" s="9"/>
      <c r="D6" s="9"/>
      <c r="E6" s="9"/>
      <c r="F6" s="5"/>
      <c r="G6" s="10" t="s">
        <v>121</v>
      </c>
      <c r="H6" s="45">
        <f>Y24</f>
        <v>29.538839266096311</v>
      </c>
      <c r="I6" s="5" t="s">
        <v>22</v>
      </c>
      <c r="J6" s="5"/>
      <c r="K6" s="5"/>
      <c r="L6" s="61">
        <v>29.787400000000002</v>
      </c>
      <c r="M6" s="5" t="s">
        <v>93</v>
      </c>
      <c r="N6" s="5"/>
      <c r="O6" s="65">
        <v>29.786999999999999</v>
      </c>
      <c r="P6" s="12" t="s">
        <v>93</v>
      </c>
      <c r="Q6" s="5"/>
      <c r="R6" s="5"/>
      <c r="T6" s="5"/>
      <c r="U6" s="5"/>
      <c r="V6" s="5"/>
      <c r="AF6" s="5" t="s">
        <v>51</v>
      </c>
      <c r="AG6" s="5" t="s">
        <v>55</v>
      </c>
    </row>
    <row r="7" spans="2:33">
      <c r="C7" s="9"/>
      <c r="D7" s="9"/>
      <c r="E7" s="9"/>
      <c r="F7" s="15"/>
      <c r="G7" s="10" t="s">
        <v>122</v>
      </c>
      <c r="H7" s="45">
        <f>AB25</f>
        <v>6286.6083034636076</v>
      </c>
      <c r="I7" s="5" t="s">
        <v>23</v>
      </c>
      <c r="J7" s="5"/>
      <c r="K7" s="5"/>
      <c r="L7" s="61">
        <v>6286.61</v>
      </c>
      <c r="M7" s="5" t="s">
        <v>93</v>
      </c>
      <c r="N7" s="5"/>
      <c r="O7" s="5" t="s">
        <v>37</v>
      </c>
      <c r="P7" s="12" t="s">
        <v>93</v>
      </c>
      <c r="Q7" s="5"/>
      <c r="R7" s="5"/>
      <c r="T7" s="5"/>
      <c r="U7" s="5"/>
      <c r="V7" s="5"/>
      <c r="AF7" s="5" t="s">
        <v>58</v>
      </c>
      <c r="AG7" s="5" t="e">
        <f>IF(#REF!&lt;1.7,1.7,IF(#REF!&gt;100,100,#REF!))</f>
        <v>#REF!</v>
      </c>
    </row>
    <row r="8" spans="2:33">
      <c r="C8" s="9"/>
      <c r="D8" s="9"/>
      <c r="E8" s="9"/>
      <c r="F8" s="15"/>
      <c r="G8" s="10" t="s">
        <v>124</v>
      </c>
      <c r="H8" s="45">
        <f>H5/(H7/1000)</f>
        <v>4.7181479330079306</v>
      </c>
      <c r="I8" s="16" t="s">
        <v>123</v>
      </c>
      <c r="J8" s="5" t="str">
        <f>IF(H8&gt;2,"Fail","Pass")</f>
        <v>Fail</v>
      </c>
      <c r="K8" s="5"/>
      <c r="L8" s="5">
        <v>135.12100000000001</v>
      </c>
      <c r="M8" s="5" t="s">
        <v>93</v>
      </c>
      <c r="N8" s="5"/>
      <c r="O8" s="5">
        <v>4.7590000000000003</v>
      </c>
      <c r="P8" s="12" t="s">
        <v>93</v>
      </c>
      <c r="Q8" s="5"/>
      <c r="R8" s="5"/>
      <c r="T8" s="5"/>
      <c r="U8" s="5"/>
      <c r="V8" s="5"/>
      <c r="AF8" s="5" t="s">
        <v>61</v>
      </c>
      <c r="AG8" s="5" t="e">
        <f>IF(#REF!&lt;1.7,1.7,IF(#REF!&gt;100,100,#REF!))</f>
        <v>#REF!</v>
      </c>
    </row>
    <row r="9" spans="2:33">
      <c r="C9" s="9"/>
      <c r="D9" s="9"/>
      <c r="E9" s="9"/>
      <c r="F9" s="15"/>
      <c r="G9" s="10" t="s">
        <v>125</v>
      </c>
      <c r="H9" s="45">
        <f>H6/(H7/1000)</f>
        <v>4.6986924968463333</v>
      </c>
      <c r="I9" s="16" t="s">
        <v>123</v>
      </c>
      <c r="J9" s="5" t="str">
        <f>IF(H9&gt;2,"Fail","Pass")</f>
        <v>Fail</v>
      </c>
      <c r="K9" s="5"/>
      <c r="L9" s="45">
        <v>170.58699999999999</v>
      </c>
      <c r="M9" s="5" t="s">
        <v>93</v>
      </c>
      <c r="N9" s="5"/>
      <c r="O9" s="5">
        <v>4.7380000000000004</v>
      </c>
      <c r="P9" s="12" t="s">
        <v>93</v>
      </c>
      <c r="Q9" s="5"/>
      <c r="R9" s="5"/>
      <c r="T9" s="5"/>
      <c r="U9" s="5"/>
      <c r="V9" s="5"/>
      <c r="AF9" s="16" t="s">
        <v>66</v>
      </c>
      <c r="AG9" s="33" t="e">
        <f>IF(#REF!&lt;11,11,IF(#REF!&gt;100,100,#REF!))</f>
        <v>#REF!</v>
      </c>
    </row>
    <row r="10" spans="2:33" ht="15.75" thickBot="1">
      <c r="C10" s="9"/>
      <c r="D10" s="9"/>
      <c r="E10" s="9"/>
      <c r="F10" s="15"/>
      <c r="G10" s="51"/>
      <c r="H10" s="64"/>
      <c r="I10" s="52"/>
      <c r="J10" s="52"/>
      <c r="K10" s="52"/>
      <c r="L10" s="52"/>
      <c r="M10" s="52"/>
      <c r="N10" s="52"/>
      <c r="O10" s="52"/>
      <c r="P10" s="53"/>
      <c r="Q10" s="5"/>
      <c r="R10" s="5"/>
      <c r="T10" s="5"/>
      <c r="U10" s="5"/>
      <c r="V10" s="5"/>
      <c r="AF10" s="33" t="s">
        <v>65</v>
      </c>
      <c r="AG10" s="9" t="e">
        <f>IF(#REF!&lt;11,"Yes","No")</f>
        <v>#REF!</v>
      </c>
    </row>
    <row r="11" spans="2:33">
      <c r="E11" s="3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33" ht="15.75">
      <c r="E12" s="33"/>
      <c r="F12" s="5"/>
      <c r="G12" s="6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/>
      <c r="T12" s="5"/>
      <c r="U12" s="5"/>
      <c r="V12" s="5"/>
    </row>
    <row r="13" spans="2:33">
      <c r="E13" s="3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33">
      <c r="E14" s="33"/>
      <c r="F14" s="5"/>
      <c r="G14" s="17"/>
      <c r="H14" s="44"/>
      <c r="I14" s="44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33">
      <c r="E15" s="33"/>
      <c r="F15" s="5"/>
      <c r="G15" s="5"/>
      <c r="H15" s="45"/>
      <c r="I15" s="5"/>
      <c r="J15" s="5"/>
      <c r="K15" s="5"/>
      <c r="L15" s="45"/>
      <c r="M15" s="5"/>
      <c r="N15" s="5"/>
      <c r="O15" s="45"/>
      <c r="P15" s="5"/>
      <c r="Q15" s="5"/>
      <c r="R15" s="5"/>
      <c r="S15" s="5"/>
      <c r="T15" s="5"/>
      <c r="U15" s="5"/>
      <c r="V15" s="5"/>
    </row>
    <row r="16" spans="2:33">
      <c r="E16" s="33"/>
      <c r="F16" s="5"/>
      <c r="G16" s="5"/>
      <c r="H16" s="5"/>
      <c r="I16" s="5"/>
      <c r="J16" s="5"/>
      <c r="K16" s="5"/>
      <c r="L16" s="45"/>
      <c r="M16" s="5"/>
      <c r="N16" s="5"/>
      <c r="O16" s="45"/>
      <c r="P16" s="5"/>
      <c r="Q16" s="5"/>
      <c r="R16" s="5"/>
      <c r="S16" s="5"/>
      <c r="T16" s="5"/>
      <c r="U16" s="5"/>
      <c r="V16" s="5"/>
    </row>
    <row r="17" spans="2:67">
      <c r="E17" s="33"/>
      <c r="F17" s="5"/>
      <c r="G17" s="5"/>
      <c r="H17" s="5"/>
      <c r="I17" s="5"/>
      <c r="J17" s="54"/>
      <c r="K17" s="5"/>
      <c r="L17" s="45"/>
      <c r="M17" s="5"/>
      <c r="N17" s="5"/>
      <c r="O17" s="45"/>
      <c r="P17" s="5"/>
      <c r="Q17" s="5"/>
      <c r="R17" s="11"/>
      <c r="S17" s="15"/>
      <c r="T17" s="5"/>
      <c r="U17" s="5"/>
      <c r="V17" s="5"/>
    </row>
    <row r="18" spans="2:67">
      <c r="E18" s="33"/>
      <c r="F18" s="5"/>
      <c r="G18" s="5"/>
      <c r="H18" s="45"/>
      <c r="I18" s="5"/>
      <c r="J18" s="54"/>
      <c r="K18" s="5"/>
      <c r="L18" s="45"/>
      <c r="M18" s="5"/>
      <c r="N18" s="5"/>
      <c r="O18" s="45"/>
      <c r="P18" s="5"/>
      <c r="Q18" s="5"/>
      <c r="R18" s="5"/>
    </row>
    <row r="19" spans="2:67">
      <c r="E19" s="33"/>
      <c r="F19" s="5"/>
      <c r="G19" s="5"/>
      <c r="H19" s="45"/>
      <c r="I19" s="5"/>
      <c r="J19" s="5"/>
      <c r="K19" s="5"/>
      <c r="L19" s="45"/>
      <c r="M19" s="5"/>
      <c r="N19" s="5"/>
      <c r="O19" s="5"/>
      <c r="P19" s="5"/>
      <c r="Q19" s="5"/>
      <c r="R19" s="5"/>
      <c r="AE19" s="1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2:67">
      <c r="E20" s="33"/>
      <c r="F20" s="5"/>
      <c r="G20" s="5"/>
      <c r="H20" s="45"/>
      <c r="I20" s="5"/>
      <c r="J20" s="5"/>
      <c r="K20" s="5"/>
      <c r="L20" s="5"/>
      <c r="M20" s="5"/>
      <c r="N20" s="5"/>
      <c r="O20" s="5"/>
      <c r="P20" s="5"/>
      <c r="Q20" s="5"/>
      <c r="R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Y20" s="5"/>
      <c r="AZ20" s="5"/>
      <c r="BA20" s="5"/>
      <c r="BD20" s="5"/>
      <c r="BE20" s="5"/>
      <c r="BF20" s="5"/>
      <c r="BI20" s="5"/>
      <c r="BJ20" s="5"/>
      <c r="BK20" s="5"/>
      <c r="BL20" s="5"/>
      <c r="BM20" s="5"/>
      <c r="BN20" s="5"/>
      <c r="BO20" s="5"/>
    </row>
    <row r="21" spans="2:67">
      <c r="E21" s="33"/>
      <c r="F21" s="5"/>
      <c r="G21" s="5"/>
      <c r="H21" s="45"/>
      <c r="I21" s="5"/>
      <c r="J21" s="5"/>
      <c r="K21" s="5"/>
      <c r="L21" s="5"/>
      <c r="M21" s="5"/>
      <c r="N21" s="5"/>
      <c r="O21" s="5"/>
      <c r="P21" s="5"/>
      <c r="Q21" s="5"/>
      <c r="R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Y21" s="5"/>
      <c r="AZ21" s="5"/>
      <c r="BA21" s="5"/>
      <c r="BD21" s="5"/>
      <c r="BE21" s="5"/>
      <c r="BF21" s="5"/>
      <c r="BI21" s="5"/>
      <c r="BJ21" s="5"/>
      <c r="BK21" s="5"/>
      <c r="BL21" s="5"/>
      <c r="BM21" s="5"/>
      <c r="BN21" s="5"/>
      <c r="BO21" s="5"/>
    </row>
    <row r="22" spans="2:67" ht="15.75" thickBot="1">
      <c r="C22" s="9"/>
      <c r="D22" s="9"/>
      <c r="E22" s="9"/>
      <c r="F22" s="15"/>
      <c r="G22" s="5"/>
      <c r="H22" s="45"/>
      <c r="I22" s="5"/>
      <c r="J22" s="5"/>
      <c r="K22" s="5"/>
      <c r="L22" s="5"/>
      <c r="M22" s="5"/>
      <c r="N22" s="5"/>
      <c r="O22" s="5"/>
      <c r="P22" s="5"/>
      <c r="Q22" s="5"/>
      <c r="R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Y22" s="5"/>
      <c r="AZ22" s="5"/>
      <c r="BA22" s="5"/>
      <c r="BD22" s="5"/>
      <c r="BE22" s="5"/>
      <c r="BF22" s="5"/>
      <c r="BI22" s="5"/>
      <c r="BJ22" s="5"/>
      <c r="BK22" s="5"/>
      <c r="BL22" s="5"/>
      <c r="BM22" s="5"/>
      <c r="BN22" s="5"/>
      <c r="BO22" s="5"/>
    </row>
    <row r="23" spans="2:67" ht="15.75" thickBot="1">
      <c r="C23" s="9"/>
      <c r="D23" s="9"/>
      <c r="E23" s="9"/>
      <c r="F23" s="15"/>
      <c r="G23" s="5"/>
      <c r="H23" s="46"/>
      <c r="I23" s="5"/>
      <c r="J23" s="5"/>
      <c r="K23" s="5"/>
      <c r="L23" s="46"/>
      <c r="M23" s="5"/>
      <c r="N23" s="5"/>
      <c r="O23" s="63"/>
      <c r="P23" s="5"/>
      <c r="Q23" s="5"/>
      <c r="R23" s="5"/>
      <c r="Y23" s="4">
        <f>SUM(Z29:Z128)</f>
        <v>29.661147972617311</v>
      </c>
      <c r="Z23" s="3" t="s">
        <v>22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Y23" s="5"/>
      <c r="AZ23" s="5"/>
      <c r="BA23" s="5"/>
      <c r="BD23" s="5"/>
      <c r="BE23" s="5"/>
      <c r="BF23" s="5"/>
      <c r="BI23" s="5"/>
      <c r="BJ23" s="5"/>
      <c r="BK23" s="5"/>
      <c r="BL23" s="5"/>
      <c r="BM23" s="5"/>
      <c r="BN23" s="5"/>
      <c r="BO23" s="5"/>
    </row>
    <row r="24" spans="2:67" ht="15.75" thickBot="1">
      <c r="E24" s="3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Y24" s="4">
        <f>SUM(Z29:Z86)</f>
        <v>29.538839266096311</v>
      </c>
      <c r="Z24" s="3" t="s">
        <v>22</v>
      </c>
      <c r="AD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7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2:67" ht="15.75" thickBot="1">
      <c r="E25" s="33"/>
      <c r="F25" s="5"/>
      <c r="G25" s="5"/>
      <c r="H25" s="5"/>
      <c r="I25" s="5"/>
      <c r="J25" s="5"/>
      <c r="K25" s="5"/>
      <c r="L25" s="17"/>
      <c r="M25" s="17"/>
      <c r="N25" s="17"/>
      <c r="O25" s="5"/>
      <c r="P25" s="5"/>
      <c r="Q25" s="17"/>
      <c r="R25" s="5"/>
      <c r="V25" s="1" t="s">
        <v>2</v>
      </c>
      <c r="AB25" s="2">
        <f>683*SUM(AC29:AC204)/1000</f>
        <v>6286.6083034636076</v>
      </c>
      <c r="AC25" s="3" t="s">
        <v>23</v>
      </c>
      <c r="AD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Y25" s="5"/>
      <c r="AZ25" s="5"/>
      <c r="BA25" s="5"/>
      <c r="BB25" s="5"/>
      <c r="BE25" s="5"/>
      <c r="BF25" s="5"/>
      <c r="BG25" s="5"/>
      <c r="BI25" s="5"/>
      <c r="BJ25" s="5"/>
      <c r="BK25" s="5"/>
      <c r="BL25" s="5"/>
      <c r="BM25" s="5"/>
      <c r="BN25" s="5"/>
      <c r="BO25" s="5"/>
    </row>
    <row r="26" spans="2:67">
      <c r="E26" s="3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AD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2:67">
      <c r="B27" s="1" t="s">
        <v>0</v>
      </c>
      <c r="C27" s="1" t="s">
        <v>126</v>
      </c>
      <c r="D27" s="1"/>
      <c r="E27" s="1"/>
      <c r="F27" s="22"/>
      <c r="G27" s="1"/>
      <c r="H27" s="1"/>
      <c r="I27" s="22"/>
      <c r="J27" s="1"/>
      <c r="K27" s="1"/>
      <c r="L27" s="22"/>
      <c r="M27" s="33"/>
      <c r="N27" s="1"/>
      <c r="O27" s="22"/>
      <c r="P27" s="1"/>
      <c r="Q27" s="1"/>
      <c r="R27" s="1"/>
      <c r="S27" s="1"/>
      <c r="T27" s="1"/>
      <c r="U27" s="1"/>
      <c r="V27" s="1" t="str">
        <f t="shared" ref="V27:W28" si="0">B27</f>
        <v>Wavelength</v>
      </c>
      <c r="W27" s="1" t="str">
        <f t="shared" si="0"/>
        <v>Irradiance in 2π</v>
      </c>
      <c r="X27" s="1" t="s">
        <v>13</v>
      </c>
      <c r="Y27" s="1" t="s">
        <v>14</v>
      </c>
      <c r="Z27" s="1" t="s">
        <v>16</v>
      </c>
      <c r="AA27" s="1" t="s">
        <v>12</v>
      </c>
      <c r="AB27" s="1" t="s">
        <v>21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N27" s="1"/>
      <c r="BO27" s="1"/>
    </row>
    <row r="28" spans="2:67">
      <c r="B28" s="1" t="s">
        <v>1</v>
      </c>
      <c r="C28" s="1" t="s">
        <v>3</v>
      </c>
      <c r="D28" s="1"/>
      <c r="E28" s="57"/>
      <c r="F28" s="57"/>
      <c r="G28" s="57"/>
      <c r="H28" s="57"/>
      <c r="I28" s="57"/>
      <c r="J28" s="57"/>
      <c r="K28" s="57"/>
      <c r="L28" s="57"/>
      <c r="N28" s="57"/>
      <c r="O28" s="57"/>
      <c r="P28" s="57"/>
      <c r="Q28" s="57"/>
      <c r="R28" s="1"/>
      <c r="S28" s="1"/>
      <c r="T28" s="1"/>
      <c r="U28" s="1"/>
      <c r="V28" s="1" t="str">
        <f t="shared" si="0"/>
        <v>(nm)</v>
      </c>
      <c r="W28" s="1" t="str">
        <f t="shared" si="0"/>
        <v>(mW m-2 nm-1)</v>
      </c>
      <c r="X28" s="1" t="s">
        <v>6</v>
      </c>
      <c r="Y28" s="1" t="str">
        <f>W28</f>
        <v>(mW m-2 nm-1)</v>
      </c>
      <c r="Z28" s="1" t="s">
        <v>15</v>
      </c>
      <c r="AA28" s="1" t="s">
        <v>6</v>
      </c>
      <c r="AB28" s="1" t="s">
        <v>15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N28" s="1"/>
      <c r="BO28" s="1"/>
    </row>
    <row r="29" spans="2:67">
      <c r="B29" s="59">
        <v>200</v>
      </c>
      <c r="C29" s="36">
        <v>3.84367E-3</v>
      </c>
      <c r="V29" s="33">
        <f>B29</f>
        <v>200</v>
      </c>
      <c r="W29" s="33">
        <f>C29</f>
        <v>3.84367E-3</v>
      </c>
      <c r="X29" s="33">
        <f>VLOOKUP(V29,'Hazard Weighting Functions'!$B$5:$G$1205,2,FALSE)</f>
        <v>0.03</v>
      </c>
      <c r="Y29" s="33">
        <f>W29*X29</f>
        <v>1.153101E-4</v>
      </c>
      <c r="Z29" s="33">
        <f>0.5*(V30-V29)*(Y29+Y30)</f>
        <v>2.9947951759694882E-4</v>
      </c>
      <c r="AA29" s="33">
        <f>VLOOKUP(V29,'Hazard Weighting Functions'!$B$5:$G$1205,5,FALSE)</f>
        <v>0</v>
      </c>
      <c r="AB29" s="33">
        <f>AA29*W29</f>
        <v>0</v>
      </c>
      <c r="AC29" s="33">
        <f>0.5*(V30-V29)*(AB29+AB30)</f>
        <v>0</v>
      </c>
      <c r="AE29" s="20"/>
      <c r="AF29" s="20"/>
      <c r="AJ29" s="20"/>
      <c r="AO29" s="20"/>
      <c r="AP29" s="20"/>
      <c r="AU29" s="20"/>
      <c r="AV29" s="20"/>
      <c r="AZ29" s="1"/>
      <c r="BA29" s="20"/>
      <c r="BE29" s="20"/>
      <c r="BF29" s="20"/>
    </row>
    <row r="30" spans="2:67">
      <c r="B30" s="59">
        <v>202</v>
      </c>
      <c r="C30" s="36">
        <v>4.9641352452007769E-3</v>
      </c>
      <c r="G30" s="61"/>
      <c r="H30" s="61"/>
      <c r="V30" s="61">
        <f t="shared" ref="V30:V93" si="1">B30</f>
        <v>202</v>
      </c>
      <c r="W30" s="61">
        <f t="shared" ref="W30:W93" si="2">C30</f>
        <v>4.9641352452007769E-3</v>
      </c>
      <c r="X30" s="33">
        <f>VLOOKUP(V30,'Hazard Weighting Functions'!$B$5:$G$1205,2,FALSE)</f>
        <v>3.7100000000000001E-2</v>
      </c>
      <c r="Y30" s="33">
        <f t="shared" ref="Y30:Y93" si="3">W30*X30</f>
        <v>1.8416941759694883E-4</v>
      </c>
      <c r="Z30" s="61">
        <f t="shared" ref="Z30:Z93" si="4">0.5*(V31-V30)*(Y30+Y31)</f>
        <v>4.6423259720323638E-4</v>
      </c>
      <c r="AA30" s="33">
        <f>VLOOKUP(V30,'Hazard Weighting Functions'!$B$5:$G$1205,5,FALSE)</f>
        <v>0</v>
      </c>
      <c r="AB30" s="33">
        <f>AA30*W30</f>
        <v>0</v>
      </c>
      <c r="AC30" s="33">
        <f>0.5*(V31-V30)*(AB30+AB31)</f>
        <v>0</v>
      </c>
      <c r="AE30" s="20"/>
      <c r="AF30" s="20"/>
      <c r="AJ30" s="20"/>
      <c r="AO30" s="20"/>
      <c r="AP30" s="20"/>
      <c r="AU30" s="20"/>
      <c r="AV30" s="20"/>
      <c r="AZ30" s="1"/>
      <c r="BA30" s="20"/>
      <c r="BE30" s="20"/>
      <c r="BF30" s="20"/>
    </row>
    <row r="31" spans="2:67">
      <c r="B31" s="59">
        <v>204</v>
      </c>
      <c r="C31" s="36">
        <v>6.1015943269343694E-3</v>
      </c>
      <c r="G31" s="61"/>
      <c r="H31" s="61"/>
      <c r="V31" s="61">
        <f t="shared" si="1"/>
        <v>204</v>
      </c>
      <c r="W31" s="61">
        <f t="shared" si="2"/>
        <v>6.1015943269343694E-3</v>
      </c>
      <c r="X31" s="33">
        <f>VLOOKUP(V31,'Hazard Weighting Functions'!$B$5:$G$1205,2,FALSE)</f>
        <v>4.5900000000000003E-2</v>
      </c>
      <c r="Y31" s="33">
        <f t="shared" si="3"/>
        <v>2.8006317960628757E-4</v>
      </c>
      <c r="Z31" s="61">
        <f t="shared" si="4"/>
        <v>6.854452602981201E-4</v>
      </c>
      <c r="AA31" s="33">
        <f>VLOOKUP(V31,'Hazard Weighting Functions'!$B$5:$G$1205,5,FALSE)</f>
        <v>0</v>
      </c>
      <c r="AB31" s="33">
        <f>AA31*W31</f>
        <v>0</v>
      </c>
      <c r="AC31" s="33">
        <f>0.5*(V32-V31)*(AB31+AB32)</f>
        <v>0</v>
      </c>
      <c r="AE31" s="20"/>
      <c r="AF31" s="20"/>
      <c r="AJ31" s="20"/>
      <c r="AO31" s="20"/>
      <c r="AP31" s="20"/>
      <c r="AU31" s="20"/>
      <c r="AV31" s="20"/>
      <c r="AZ31" s="1"/>
      <c r="BA31" s="20"/>
      <c r="BE31" s="20"/>
      <c r="BF31" s="20"/>
    </row>
    <row r="32" spans="2:67">
      <c r="B32" s="59">
        <v>206</v>
      </c>
      <c r="C32" s="36">
        <v>7.3572065461312624E-3</v>
      </c>
      <c r="G32" s="61"/>
      <c r="H32" s="61"/>
      <c r="V32" s="61">
        <f t="shared" si="1"/>
        <v>206</v>
      </c>
      <c r="W32" s="61">
        <f t="shared" si="2"/>
        <v>7.3572065461312624E-3</v>
      </c>
      <c r="X32" s="33">
        <f>VLOOKUP(V32,'Hazard Weighting Functions'!$B$5:$G$1205,2,FALSE)</f>
        <v>5.5100000000000003E-2</v>
      </c>
      <c r="Y32" s="33">
        <f t="shared" si="3"/>
        <v>4.0538208069183259E-4</v>
      </c>
      <c r="Z32" s="61">
        <f t="shared" si="4"/>
        <v>9.7209949814696295E-4</v>
      </c>
      <c r="AA32" s="33">
        <f>VLOOKUP(V32,'Hazard Weighting Functions'!$B$5:$G$1205,5,FALSE)</f>
        <v>0</v>
      </c>
      <c r="AB32" s="33">
        <f>AA32*W32</f>
        <v>0</v>
      </c>
      <c r="AC32" s="33">
        <f>0.5*(V33-V32)*(AB32+AB33)</f>
        <v>0</v>
      </c>
      <c r="AE32" s="20"/>
      <c r="AF32" s="20"/>
      <c r="AJ32" s="20"/>
      <c r="AO32" s="20"/>
      <c r="AP32" s="20"/>
      <c r="AU32" s="20"/>
      <c r="AV32" s="20"/>
      <c r="AZ32" s="1"/>
      <c r="BA32" s="20"/>
      <c r="BE32" s="20"/>
      <c r="BF32" s="20"/>
    </row>
    <row r="33" spans="2:58">
      <c r="B33" s="59">
        <v>208</v>
      </c>
      <c r="C33" s="36">
        <v>8.8136456835945631E-3</v>
      </c>
      <c r="G33" s="61"/>
      <c r="H33" s="61"/>
      <c r="V33" s="61">
        <f t="shared" si="1"/>
        <v>208</v>
      </c>
      <c r="W33" s="61">
        <f t="shared" si="2"/>
        <v>8.8136456835945631E-3</v>
      </c>
      <c r="X33" s="33">
        <f>VLOOKUP(V33,'Hazard Weighting Functions'!$B$5:$G$1205,2,FALSE)</f>
        <v>6.4299999999999996E-2</v>
      </c>
      <c r="Y33" s="33">
        <f t="shared" si="3"/>
        <v>5.6671741745513036E-4</v>
      </c>
      <c r="Z33" s="61">
        <f t="shared" si="4"/>
        <v>1.3568499174551303E-3</v>
      </c>
      <c r="AA33" s="33">
        <f>VLOOKUP(V33,'Hazard Weighting Functions'!$B$5:$G$1205,5,FALSE)</f>
        <v>0</v>
      </c>
      <c r="AB33" s="33">
        <f>AA33*W33</f>
        <v>0</v>
      </c>
      <c r="AC33" s="33">
        <f>0.5*(V34-V33)*(AB33+AB34)</f>
        <v>0</v>
      </c>
      <c r="AE33" s="20"/>
      <c r="AF33" s="20"/>
      <c r="AJ33" s="20"/>
      <c r="AO33" s="20"/>
      <c r="AP33" s="20"/>
      <c r="AU33" s="20"/>
      <c r="AV33" s="20"/>
      <c r="AZ33" s="1"/>
      <c r="BA33" s="20"/>
      <c r="BE33" s="20"/>
      <c r="BF33" s="20"/>
    </row>
    <row r="34" spans="2:58">
      <c r="B34" s="59">
        <v>210</v>
      </c>
      <c r="C34" s="36">
        <v>1.05351E-2</v>
      </c>
      <c r="G34" s="61"/>
      <c r="H34" s="61"/>
      <c r="V34" s="61">
        <f t="shared" si="1"/>
        <v>210</v>
      </c>
      <c r="W34" s="61">
        <f t="shared" si="2"/>
        <v>1.05351E-2</v>
      </c>
      <c r="X34" s="33">
        <f>VLOOKUP(V34,'Hazard Weighting Functions'!$B$5:$G$1205,2,FALSE)</f>
        <v>7.4999999999999997E-2</v>
      </c>
      <c r="Y34" s="33">
        <f t="shared" si="3"/>
        <v>7.9013249999999998E-4</v>
      </c>
      <c r="Z34" s="61">
        <f t="shared" si="4"/>
        <v>1.826608842471424E-3</v>
      </c>
      <c r="AA34" s="33">
        <f>VLOOKUP(V34,'Hazard Weighting Functions'!$B$5:$G$1205,5,FALSE)</f>
        <v>0</v>
      </c>
      <c r="AB34" s="33">
        <f>AA34*W34</f>
        <v>0</v>
      </c>
      <c r="AC34" s="33">
        <f>0.5*(V35-V34)*(AB34+AB35)</f>
        <v>0</v>
      </c>
      <c r="AE34" s="20"/>
      <c r="AF34" s="20"/>
      <c r="AJ34" s="20"/>
      <c r="AO34" s="20"/>
      <c r="AP34" s="20"/>
      <c r="AU34" s="20"/>
      <c r="AV34" s="20"/>
      <c r="AZ34" s="1"/>
      <c r="BA34" s="20"/>
      <c r="BE34" s="20"/>
      <c r="BF34" s="20"/>
    </row>
    <row r="35" spans="2:58">
      <c r="B35" s="59">
        <v>212</v>
      </c>
      <c r="C35" s="36">
        <v>1.2578596389216311E-2</v>
      </c>
      <c r="V35" s="61">
        <f t="shared" si="1"/>
        <v>212</v>
      </c>
      <c r="W35" s="61">
        <f t="shared" si="2"/>
        <v>1.2578596389216311E-2</v>
      </c>
      <c r="X35" s="33">
        <f>VLOOKUP(V35,'Hazard Weighting Functions'!$B$5:$G$1205,2,FALSE)</f>
        <v>8.2400000000000001E-2</v>
      </c>
      <c r="Y35" s="33">
        <f t="shared" si="3"/>
        <v>1.036476342471424E-3</v>
      </c>
      <c r="Z35" s="61">
        <f t="shared" si="4"/>
        <v>2.3932775847474858E-3</v>
      </c>
      <c r="AA35" s="33">
        <f>VLOOKUP(V35,'Hazard Weighting Functions'!$B$5:$G$1205,5,FALSE)</f>
        <v>0</v>
      </c>
      <c r="AB35" s="33">
        <f>AA35*W35</f>
        <v>0</v>
      </c>
      <c r="AC35" s="33">
        <f>0.5*(V36-V35)*(AB35+AB36)</f>
        <v>0</v>
      </c>
      <c r="AE35" s="20"/>
      <c r="AF35" s="20"/>
      <c r="AJ35" s="20"/>
      <c r="AO35" s="20"/>
      <c r="AP35" s="20"/>
      <c r="AU35" s="20"/>
      <c r="AV35" s="20"/>
      <c r="AZ35" s="1"/>
      <c r="BA35" s="20"/>
      <c r="BE35" s="20"/>
      <c r="BF35" s="20"/>
    </row>
    <row r="36" spans="2:58">
      <c r="B36" s="59">
        <v>214</v>
      </c>
      <c r="C36" s="36">
        <v>1.4975731150949906E-2</v>
      </c>
      <c r="V36" s="61">
        <f t="shared" si="1"/>
        <v>214</v>
      </c>
      <c r="W36" s="61">
        <f t="shared" si="2"/>
        <v>1.4975731150949906E-2</v>
      </c>
      <c r="X36" s="33">
        <f>VLOOKUP(V36,'Hazard Weighting Functions'!$B$5:$G$1205,2,FALSE)</f>
        <v>9.06E-2</v>
      </c>
      <c r="Y36" s="33">
        <f t="shared" si="3"/>
        <v>1.3568012422760616E-3</v>
      </c>
      <c r="Z36" s="61">
        <f t="shared" si="4"/>
        <v>3.1231917997069404E-3</v>
      </c>
      <c r="AA36" s="33">
        <f>VLOOKUP(V36,'Hazard Weighting Functions'!$B$5:$G$1205,5,FALSE)</f>
        <v>0</v>
      </c>
      <c r="AB36" s="33">
        <f>AA36*W36</f>
        <v>0</v>
      </c>
      <c r="AC36" s="33">
        <f>0.5*(V37-V36)*(AB36+AB37)</f>
        <v>0</v>
      </c>
      <c r="AE36" s="20"/>
      <c r="AF36" s="20"/>
      <c r="AJ36" s="20"/>
      <c r="AO36" s="20"/>
      <c r="AP36" s="20"/>
      <c r="AU36" s="20"/>
      <c r="AV36" s="20"/>
      <c r="AZ36" s="1"/>
      <c r="BA36" s="20"/>
      <c r="BE36" s="20"/>
      <c r="BF36" s="20"/>
    </row>
    <row r="37" spans="2:58">
      <c r="B37" s="59">
        <v>216</v>
      </c>
      <c r="C37" s="36">
        <v>1.7752668918903303E-2</v>
      </c>
      <c r="V37" s="61">
        <f t="shared" si="1"/>
        <v>216</v>
      </c>
      <c r="W37" s="61">
        <f t="shared" si="2"/>
        <v>1.7752668918903303E-2</v>
      </c>
      <c r="X37" s="33">
        <f>VLOOKUP(V37,'Hazard Weighting Functions'!$B$5:$G$1205,2,FALSE)</f>
        <v>9.9500000000000005E-2</v>
      </c>
      <c r="Y37" s="33">
        <f t="shared" si="3"/>
        <v>1.7663905574308789E-3</v>
      </c>
      <c r="Z37" s="61">
        <f t="shared" si="4"/>
        <v>4.0569766588468351E-3</v>
      </c>
      <c r="AA37" s="33">
        <f>VLOOKUP(V37,'Hazard Weighting Functions'!$B$5:$G$1205,5,FALSE)</f>
        <v>0</v>
      </c>
      <c r="AB37" s="33">
        <f>AA37*W37</f>
        <v>0</v>
      </c>
      <c r="AC37" s="33">
        <f>0.5*(V38-V37)*(AB37+AB38)</f>
        <v>0</v>
      </c>
      <c r="AE37" s="20"/>
      <c r="AF37" s="20"/>
      <c r="AJ37" s="20"/>
      <c r="AO37" s="20"/>
      <c r="AP37" s="20"/>
      <c r="AU37" s="20"/>
      <c r="AV37" s="20"/>
      <c r="AZ37" s="1"/>
      <c r="BA37" s="20"/>
      <c r="BE37" s="20"/>
      <c r="BF37" s="20"/>
    </row>
    <row r="38" spans="2:58">
      <c r="B38" s="59">
        <v>218</v>
      </c>
      <c r="C38" s="36">
        <v>2.0956871925123109E-2</v>
      </c>
      <c r="V38" s="61">
        <f t="shared" si="1"/>
        <v>218</v>
      </c>
      <c r="W38" s="61">
        <f t="shared" si="2"/>
        <v>2.0956871925123109E-2</v>
      </c>
      <c r="X38" s="33">
        <f>VLOOKUP(V38,'Hazard Weighting Functions'!$B$5:$G$1205,2,FALSE)</f>
        <v>0.10929999999999999</v>
      </c>
      <c r="Y38" s="33">
        <f t="shared" si="3"/>
        <v>2.2905861014159558E-3</v>
      </c>
      <c r="Z38" s="61">
        <f t="shared" si="4"/>
        <v>5.2494381014159559E-3</v>
      </c>
      <c r="AA38" s="33">
        <f>VLOOKUP(V38,'Hazard Weighting Functions'!$B$5:$G$1205,5,FALSE)</f>
        <v>0</v>
      </c>
      <c r="AB38" s="33">
        <f>AA38*W38</f>
        <v>0</v>
      </c>
      <c r="AC38" s="33">
        <f>0.5*(V39-V38)*(AB38+AB39)</f>
        <v>0</v>
      </c>
      <c r="AE38" s="20"/>
      <c r="AF38" s="20"/>
      <c r="AJ38" s="20"/>
      <c r="AO38" s="20"/>
      <c r="AP38" s="20"/>
      <c r="AU38" s="20"/>
      <c r="AV38" s="20"/>
      <c r="AZ38" s="1"/>
      <c r="BA38" s="20"/>
      <c r="BE38" s="20"/>
      <c r="BF38" s="20"/>
    </row>
    <row r="39" spans="2:58">
      <c r="B39" s="59">
        <v>220</v>
      </c>
      <c r="C39" s="36">
        <v>2.4657100000000001E-2</v>
      </c>
      <c r="V39" s="61">
        <f t="shared" si="1"/>
        <v>220</v>
      </c>
      <c r="W39" s="61">
        <f t="shared" si="2"/>
        <v>2.4657100000000001E-2</v>
      </c>
      <c r="X39" s="33">
        <f>VLOOKUP(V39,'Hazard Weighting Functions'!$B$5:$G$1205,2,FALSE)</f>
        <v>0.12</v>
      </c>
      <c r="Y39" s="33">
        <f t="shared" si="3"/>
        <v>2.9588520000000001E-3</v>
      </c>
      <c r="Z39" s="61">
        <f t="shared" si="4"/>
        <v>6.7667966741837091E-3</v>
      </c>
      <c r="AA39" s="33">
        <f>VLOOKUP(V39,'Hazard Weighting Functions'!$B$5:$G$1205,5,FALSE)</f>
        <v>0</v>
      </c>
      <c r="AB39" s="33">
        <f>AA39*W39</f>
        <v>0</v>
      </c>
      <c r="AC39" s="33">
        <f>0.5*(V40-V39)*(AB39+AB40)</f>
        <v>0</v>
      </c>
      <c r="AE39" s="20"/>
      <c r="AF39" s="20"/>
      <c r="AJ39" s="20"/>
      <c r="AO39" s="20"/>
      <c r="AP39" s="20"/>
      <c r="AU39" s="20"/>
      <c r="AV39" s="20"/>
      <c r="AZ39" s="1"/>
      <c r="BA39" s="20"/>
      <c r="BE39" s="20"/>
      <c r="BF39" s="20"/>
    </row>
    <row r="40" spans="2:58">
      <c r="B40" s="59">
        <v>222</v>
      </c>
      <c r="C40" s="36">
        <v>2.8935749803827574E-2</v>
      </c>
      <c r="V40" s="61">
        <f t="shared" si="1"/>
        <v>222</v>
      </c>
      <c r="W40" s="61">
        <f t="shared" si="2"/>
        <v>2.8935749803827574E-2</v>
      </c>
      <c r="X40" s="33">
        <f>VLOOKUP(V40,'Hazard Weighting Functions'!$B$5:$G$1205,2,FALSE)</f>
        <v>0.13159999999999999</v>
      </c>
      <c r="Y40" s="33">
        <f t="shared" si="3"/>
        <v>3.8079446741837086E-3</v>
      </c>
      <c r="Z40" s="61">
        <f t="shared" si="4"/>
        <v>8.7068679383747096E-3</v>
      </c>
      <c r="AA40" s="33">
        <f>VLOOKUP(V40,'Hazard Weighting Functions'!$B$5:$G$1205,5,FALSE)</f>
        <v>0</v>
      </c>
      <c r="AB40" s="33">
        <f>AA40*W40</f>
        <v>0</v>
      </c>
      <c r="AC40" s="33">
        <f>0.5*(V41-V40)*(AB40+AB41)</f>
        <v>0</v>
      </c>
      <c r="AE40" s="20"/>
      <c r="AF40" s="20"/>
      <c r="AJ40" s="20"/>
      <c r="AO40" s="20"/>
      <c r="AP40" s="20"/>
      <c r="AU40" s="20"/>
      <c r="AV40" s="20"/>
      <c r="AZ40" s="1"/>
      <c r="BA40" s="20"/>
      <c r="BE40" s="20"/>
      <c r="BF40" s="20"/>
    </row>
    <row r="41" spans="2:58">
      <c r="B41" s="59">
        <v>224</v>
      </c>
      <c r="C41" s="36">
        <v>3.3926061386364274E-2</v>
      </c>
      <c r="V41" s="61">
        <f t="shared" si="1"/>
        <v>224</v>
      </c>
      <c r="W41" s="61">
        <f t="shared" si="2"/>
        <v>3.3926061386364274E-2</v>
      </c>
      <c r="X41" s="33">
        <f>VLOOKUP(V41,'Hazard Weighting Functions'!$B$5:$G$1205,2,FALSE)</f>
        <v>0.1444</v>
      </c>
      <c r="Y41" s="33">
        <f t="shared" si="3"/>
        <v>4.898923264191001E-3</v>
      </c>
      <c r="Z41" s="61">
        <f t="shared" si="4"/>
        <v>1.1194444143387919E-2</v>
      </c>
      <c r="AA41" s="33">
        <f>VLOOKUP(V41,'Hazard Weighting Functions'!$B$5:$G$1205,5,FALSE)</f>
        <v>0</v>
      </c>
      <c r="AB41" s="33">
        <f>AA41*W41</f>
        <v>0</v>
      </c>
      <c r="AC41" s="33">
        <f>0.5*(V42-V41)*(AB41+AB42)</f>
        <v>0</v>
      </c>
      <c r="AE41" s="20"/>
      <c r="AF41" s="20"/>
      <c r="AJ41" s="20"/>
      <c r="AO41" s="20"/>
      <c r="AP41" s="20"/>
      <c r="AU41" s="20"/>
      <c r="AV41" s="20"/>
      <c r="AZ41" s="1"/>
      <c r="BA41" s="20"/>
      <c r="BE41" s="20"/>
      <c r="BF41" s="20"/>
    </row>
    <row r="42" spans="2:58">
      <c r="B42" s="59">
        <v>226</v>
      </c>
      <c r="C42" s="36">
        <v>3.9769557038514959E-2</v>
      </c>
      <c r="V42" s="61">
        <f t="shared" si="1"/>
        <v>226</v>
      </c>
      <c r="W42" s="61">
        <f t="shared" si="2"/>
        <v>3.9769557038514959E-2</v>
      </c>
      <c r="X42" s="33">
        <f>VLOOKUP(V42,'Hazard Weighting Functions'!$B$5:$G$1205,2,FALSE)</f>
        <v>0.1583</v>
      </c>
      <c r="Y42" s="33">
        <f t="shared" si="3"/>
        <v>6.2955208791969182E-3</v>
      </c>
      <c r="Z42" s="61">
        <f t="shared" si="4"/>
        <v>1.4373595901678912E-2</v>
      </c>
      <c r="AA42" s="33">
        <f>VLOOKUP(V42,'Hazard Weighting Functions'!$B$5:$G$1205,5,FALSE)</f>
        <v>0</v>
      </c>
      <c r="AB42" s="33">
        <f>AA42*W42</f>
        <v>0</v>
      </c>
      <c r="AC42" s="33">
        <f>0.5*(V43-V42)*(AB42+AB43)</f>
        <v>0</v>
      </c>
      <c r="AE42" s="20"/>
      <c r="AF42" s="20"/>
      <c r="AJ42" s="20"/>
      <c r="AO42" s="20"/>
      <c r="AP42" s="20"/>
      <c r="AU42" s="20"/>
      <c r="AV42" s="20"/>
      <c r="AZ42" s="1"/>
      <c r="BA42" s="20"/>
      <c r="BE42" s="20"/>
      <c r="BF42" s="20"/>
    </row>
    <row r="43" spans="2:58">
      <c r="B43" s="59">
        <v>228</v>
      </c>
      <c r="C43" s="36">
        <v>4.6505901108128925E-2</v>
      </c>
      <c r="V43" s="61">
        <f t="shared" si="1"/>
        <v>228</v>
      </c>
      <c r="W43" s="61">
        <f t="shared" si="2"/>
        <v>4.6505901108128925E-2</v>
      </c>
      <c r="X43" s="33">
        <f>VLOOKUP(V43,'Hazard Weighting Functions'!$B$5:$G$1205,2,FALSE)</f>
        <v>0.17369999999999999</v>
      </c>
      <c r="Y43" s="33">
        <f t="shared" si="3"/>
        <v>8.0780750224819942E-3</v>
      </c>
      <c r="Z43" s="61">
        <f t="shared" si="4"/>
        <v>1.8351926022481993E-2</v>
      </c>
      <c r="AA43" s="33">
        <f>VLOOKUP(V43,'Hazard Weighting Functions'!$B$5:$G$1205,5,FALSE)</f>
        <v>0</v>
      </c>
      <c r="AB43" s="33">
        <f>AA43*W43</f>
        <v>0</v>
      </c>
      <c r="AC43" s="33">
        <f>0.5*(V44-V43)*(AB43+AB44)</f>
        <v>0</v>
      </c>
      <c r="AE43" s="20"/>
      <c r="AF43" s="20"/>
      <c r="AJ43" s="20"/>
      <c r="AO43" s="20"/>
      <c r="AP43" s="20"/>
      <c r="AU43" s="20"/>
      <c r="AV43" s="20"/>
      <c r="AZ43" s="1"/>
      <c r="BA43" s="20"/>
      <c r="BE43" s="20"/>
      <c r="BF43" s="20"/>
    </row>
    <row r="44" spans="2:58">
      <c r="B44" s="59">
        <v>230</v>
      </c>
      <c r="C44" s="36">
        <v>5.40729E-2</v>
      </c>
      <c r="V44" s="61">
        <f t="shared" si="1"/>
        <v>230</v>
      </c>
      <c r="W44" s="61">
        <f t="shared" si="2"/>
        <v>5.40729E-2</v>
      </c>
      <c r="X44" s="33">
        <f>VLOOKUP(V44,'Hazard Weighting Functions'!$B$5:$G$1205,2,FALSE)</f>
        <v>0.19</v>
      </c>
      <c r="Y44" s="33">
        <f t="shared" si="3"/>
        <v>1.0273851000000001E-2</v>
      </c>
      <c r="Z44" s="61">
        <f t="shared" si="4"/>
        <v>2.3315660842726835E-2</v>
      </c>
      <c r="AA44" s="33">
        <f>VLOOKUP(V44,'Hazard Weighting Functions'!$B$5:$G$1205,5,FALSE)</f>
        <v>0</v>
      </c>
      <c r="AB44" s="33">
        <f>AA44*W44</f>
        <v>0</v>
      </c>
      <c r="AC44" s="33">
        <f>0.5*(V45-V44)*(AB44+AB45)</f>
        <v>0</v>
      </c>
      <c r="AE44" s="20"/>
      <c r="AF44" s="20"/>
      <c r="AJ44" s="20"/>
      <c r="AO44" s="20"/>
      <c r="AP44" s="20"/>
      <c r="AU44" s="20"/>
      <c r="AV44" s="20"/>
      <c r="AZ44" s="1"/>
      <c r="BA44" s="20"/>
      <c r="BE44" s="20"/>
      <c r="BF44" s="20"/>
    </row>
    <row r="45" spans="2:58">
      <c r="B45" s="59">
        <v>232</v>
      </c>
      <c r="C45" s="36">
        <v>6.2430875264369724E-2</v>
      </c>
      <c r="V45" s="61">
        <f t="shared" si="1"/>
        <v>232</v>
      </c>
      <c r="W45" s="61">
        <f t="shared" si="2"/>
        <v>6.2430875264369724E-2</v>
      </c>
      <c r="X45" s="33">
        <f>VLOOKUP(V45,'Hazard Weighting Functions'!$B$5:$G$1205,2,FALSE)</f>
        <v>0.2089</v>
      </c>
      <c r="Y45" s="33">
        <f t="shared" si="3"/>
        <v>1.3041809842726836E-2</v>
      </c>
      <c r="Z45" s="61">
        <f t="shared" si="4"/>
        <v>2.9463513899334798E-2</v>
      </c>
      <c r="AA45" s="33">
        <f>VLOOKUP(V45,'Hazard Weighting Functions'!$B$5:$G$1205,5,FALSE)</f>
        <v>0</v>
      </c>
      <c r="AB45" s="33">
        <f>AA45*W45</f>
        <v>0</v>
      </c>
      <c r="AC45" s="33">
        <f>0.5*(V46-V45)*(AB45+AB46)</f>
        <v>0</v>
      </c>
      <c r="AE45" s="20"/>
      <c r="AF45" s="20"/>
      <c r="AJ45" s="20"/>
      <c r="AO45" s="20"/>
      <c r="AP45" s="20"/>
      <c r="AU45" s="20"/>
      <c r="AV45" s="20"/>
      <c r="AZ45" s="1"/>
      <c r="BA45" s="20"/>
      <c r="BE45" s="20"/>
      <c r="BF45" s="20"/>
    </row>
    <row r="46" spans="2:58">
      <c r="B46" s="59">
        <v>234</v>
      </c>
      <c r="C46" s="36">
        <v>7.1647923458149923E-2</v>
      </c>
      <c r="V46" s="61">
        <f t="shared" si="1"/>
        <v>234</v>
      </c>
      <c r="W46" s="61">
        <f t="shared" si="2"/>
        <v>7.1647923458149923E-2</v>
      </c>
      <c r="X46" s="33">
        <f>VLOOKUP(V46,'Hazard Weighting Functions'!$B$5:$G$1205,2,FALSE)</f>
        <v>0.22919999999999999</v>
      </c>
      <c r="Y46" s="33">
        <f t="shared" si="3"/>
        <v>1.642170405660796E-2</v>
      </c>
      <c r="Z46" s="61">
        <f t="shared" si="4"/>
        <v>3.6958728275304768E-2</v>
      </c>
      <c r="AA46" s="33">
        <f>VLOOKUP(V46,'Hazard Weighting Functions'!$B$5:$G$1205,5,FALSE)</f>
        <v>0</v>
      </c>
      <c r="AB46" s="33">
        <f>AA46*W46</f>
        <v>0</v>
      </c>
      <c r="AC46" s="33">
        <f>0.5*(V47-V46)*(AB46+AB47)</f>
        <v>0</v>
      </c>
      <c r="AE46" s="20"/>
      <c r="AF46" s="20"/>
      <c r="AJ46" s="20"/>
      <c r="AO46" s="20"/>
      <c r="AP46" s="20"/>
      <c r="AU46" s="20"/>
      <c r="AV46" s="20"/>
      <c r="AZ46" s="1"/>
      <c r="BA46" s="20"/>
      <c r="BE46" s="20"/>
      <c r="BF46" s="20"/>
    </row>
    <row r="47" spans="2:58">
      <c r="B47" s="59">
        <v>236</v>
      </c>
      <c r="C47" s="36">
        <v>8.1820813620306007E-2</v>
      </c>
      <c r="V47" s="61">
        <f t="shared" si="1"/>
        <v>236</v>
      </c>
      <c r="W47" s="61">
        <f t="shared" si="2"/>
        <v>8.1820813620306007E-2</v>
      </c>
      <c r="X47" s="33">
        <f>VLOOKUP(V47,'Hazard Weighting Functions'!$B$5:$G$1205,2,FALSE)</f>
        <v>0.251</v>
      </c>
      <c r="Y47" s="33">
        <f t="shared" si="3"/>
        <v>2.0537024218696808E-2</v>
      </c>
      <c r="Z47" s="61">
        <f t="shared" si="4"/>
        <v>4.6079843360231118E-2</v>
      </c>
      <c r="AA47" s="33">
        <f>VLOOKUP(V47,'Hazard Weighting Functions'!$B$5:$G$1205,5,FALSE)</f>
        <v>0</v>
      </c>
      <c r="AB47" s="33">
        <f>AA47*W47</f>
        <v>0</v>
      </c>
      <c r="AC47" s="33">
        <f>0.5*(V48-V47)*(AB47+AB48)</f>
        <v>0</v>
      </c>
      <c r="AE47" s="20"/>
      <c r="AF47" s="20"/>
      <c r="AJ47" s="20"/>
      <c r="AO47" s="20"/>
      <c r="AP47" s="20"/>
      <c r="AU47" s="20"/>
      <c r="AV47" s="20"/>
      <c r="AZ47" s="1"/>
      <c r="BA47" s="20"/>
      <c r="BE47" s="20"/>
      <c r="BF47" s="20"/>
    </row>
    <row r="48" spans="2:58">
      <c r="B48" s="59">
        <v>238</v>
      </c>
      <c r="C48" s="36">
        <v>9.3086075588681885E-2</v>
      </c>
      <c r="V48" s="61">
        <f t="shared" si="1"/>
        <v>238</v>
      </c>
      <c r="W48" s="61">
        <f t="shared" si="2"/>
        <v>9.3086075588681885E-2</v>
      </c>
      <c r="X48" s="33">
        <f>VLOOKUP(V48,'Hazard Weighting Functions'!$B$5:$G$1205,2,FALSE)</f>
        <v>0.27439999999999998</v>
      </c>
      <c r="Y48" s="33">
        <f t="shared" si="3"/>
        <v>2.5542819141534306E-2</v>
      </c>
      <c r="Z48" s="61">
        <f t="shared" si="4"/>
        <v>5.7228819141534305E-2</v>
      </c>
      <c r="AA48" s="33">
        <f>VLOOKUP(V48,'Hazard Weighting Functions'!$B$5:$G$1205,5,FALSE)</f>
        <v>0</v>
      </c>
      <c r="AB48" s="33">
        <f>AA48*W48</f>
        <v>0</v>
      </c>
      <c r="AC48" s="33">
        <f>0.5*(V49-V48)*(AB48+AB49)</f>
        <v>0</v>
      </c>
      <c r="AE48" s="20"/>
      <c r="AF48" s="20"/>
      <c r="AJ48" s="20"/>
      <c r="AO48" s="20"/>
      <c r="AP48" s="20"/>
      <c r="AU48" s="20"/>
      <c r="AV48" s="20"/>
      <c r="AZ48" s="1"/>
      <c r="BA48" s="20"/>
      <c r="BE48" s="20"/>
      <c r="BF48" s="20"/>
    </row>
    <row r="49" spans="2:58">
      <c r="B49" s="59">
        <v>240</v>
      </c>
      <c r="C49" s="36">
        <v>0.10562000000000001</v>
      </c>
      <c r="V49" s="61">
        <f t="shared" si="1"/>
        <v>240</v>
      </c>
      <c r="W49" s="61">
        <f t="shared" si="2"/>
        <v>0.10562000000000001</v>
      </c>
      <c r="X49" s="33">
        <f>VLOOKUP(V49,'Hazard Weighting Functions'!$B$5:$G$1205,2,FALSE)</f>
        <v>0.3</v>
      </c>
      <c r="Y49" s="33">
        <f t="shared" si="3"/>
        <v>3.1685999999999999E-2</v>
      </c>
      <c r="Z49" s="61">
        <f t="shared" si="4"/>
        <v>7.0272369965834358E-2</v>
      </c>
      <c r="AA49" s="33">
        <f>VLOOKUP(V49,'Hazard Weighting Functions'!$B$5:$G$1205,5,FALSE)</f>
        <v>0</v>
      </c>
      <c r="AB49" s="33">
        <f>AA49*W49</f>
        <v>0</v>
      </c>
      <c r="AC49" s="33">
        <f>0.5*(V50-V49)*(AB49+AB50)</f>
        <v>0</v>
      </c>
      <c r="AE49" s="20"/>
      <c r="AF49" s="20"/>
      <c r="AJ49" s="20"/>
      <c r="AO49" s="20"/>
      <c r="AP49" s="20"/>
      <c r="AU49" s="20"/>
      <c r="AV49" s="20"/>
      <c r="AZ49" s="1"/>
      <c r="BA49" s="20"/>
      <c r="BE49" s="20"/>
      <c r="BF49" s="20"/>
    </row>
    <row r="50" spans="2:58">
      <c r="B50" s="59">
        <v>242</v>
      </c>
      <c r="C50" s="36">
        <v>0.11957350469734852</v>
      </c>
      <c r="V50" s="61">
        <f t="shared" si="1"/>
        <v>242</v>
      </c>
      <c r="W50" s="61">
        <f t="shared" si="2"/>
        <v>0.11957350469734852</v>
      </c>
      <c r="X50" s="33">
        <f>VLOOKUP(V50,'Hazard Weighting Functions'!$B$5:$G$1205,2,FALSE)</f>
        <v>0.32269999999999999</v>
      </c>
      <c r="Y50" s="33">
        <f t="shared" si="3"/>
        <v>3.8586369965834366E-2</v>
      </c>
      <c r="Z50" s="61">
        <f t="shared" si="4"/>
        <v>8.5441087071401037E-2</v>
      </c>
      <c r="AA50" s="33">
        <f>VLOOKUP(V50,'Hazard Weighting Functions'!$B$5:$G$1205,5,FALSE)</f>
        <v>0</v>
      </c>
      <c r="AB50" s="33">
        <f>AA50*W50</f>
        <v>0</v>
      </c>
      <c r="AC50" s="33">
        <f>0.5*(V51-V50)*(AB50+AB51)</f>
        <v>0</v>
      </c>
      <c r="AE50" s="20"/>
      <c r="AF50" s="20"/>
      <c r="AJ50" s="20"/>
      <c r="AO50" s="20"/>
      <c r="AP50" s="20"/>
      <c r="AU50" s="20"/>
      <c r="AV50" s="20"/>
      <c r="AZ50" s="1"/>
      <c r="BA50" s="20"/>
      <c r="BE50" s="20"/>
      <c r="BF50" s="20"/>
    </row>
    <row r="51" spans="2:58">
      <c r="B51" s="59">
        <v>244</v>
      </c>
      <c r="C51" s="36">
        <v>0.13498910142773457</v>
      </c>
      <c r="V51" s="61">
        <f t="shared" si="1"/>
        <v>244</v>
      </c>
      <c r="W51" s="61">
        <f t="shared" si="2"/>
        <v>0.13498910142773457</v>
      </c>
      <c r="X51" s="33">
        <f>VLOOKUP(V51,'Hazard Weighting Functions'!$B$5:$G$1205,2,FALSE)</f>
        <v>0.34710000000000002</v>
      </c>
      <c r="Y51" s="33">
        <f t="shared" si="3"/>
        <v>4.6854717105566671E-2</v>
      </c>
      <c r="Z51" s="61">
        <f t="shared" si="4"/>
        <v>0.1035111656946385</v>
      </c>
      <c r="AA51" s="33">
        <f>VLOOKUP(V51,'Hazard Weighting Functions'!$B$5:$G$1205,5,FALSE)</f>
        <v>0</v>
      </c>
      <c r="AB51" s="33">
        <f>AA51*W51</f>
        <v>0</v>
      </c>
      <c r="AC51" s="33">
        <f>0.5*(V52-V51)*(AB51+AB52)</f>
        <v>0</v>
      </c>
      <c r="AE51" s="20"/>
      <c r="AF51" s="20"/>
      <c r="AJ51" s="20"/>
      <c r="AO51" s="20"/>
      <c r="AP51" s="20"/>
      <c r="AU51" s="20"/>
      <c r="AV51" s="20"/>
      <c r="AZ51" s="1"/>
      <c r="BA51" s="20"/>
      <c r="BE51" s="20"/>
      <c r="BF51" s="20"/>
    </row>
    <row r="52" spans="2:58">
      <c r="B52" s="59">
        <v>246</v>
      </c>
      <c r="C52" s="36">
        <v>0.15189396404576899</v>
      </c>
      <c r="V52" s="61">
        <f t="shared" si="1"/>
        <v>246</v>
      </c>
      <c r="W52" s="61">
        <f t="shared" si="2"/>
        <v>0.15189396404576899</v>
      </c>
      <c r="X52" s="33">
        <f>VLOOKUP(V52,'Hazard Weighting Functions'!$B$5:$G$1205,2,FALSE)</f>
        <v>0.373</v>
      </c>
      <c r="Y52" s="33">
        <f t="shared" si="3"/>
        <v>5.6656448589071831E-2</v>
      </c>
      <c r="Z52" s="61">
        <f t="shared" si="4"/>
        <v>0.1249760734774055</v>
      </c>
      <c r="AA52" s="33">
        <f>VLOOKUP(V52,'Hazard Weighting Functions'!$B$5:$G$1205,5,FALSE)</f>
        <v>0</v>
      </c>
      <c r="AB52" s="33">
        <f>AA52*W52</f>
        <v>0</v>
      </c>
      <c r="AC52" s="33">
        <f>0.5*(V53-V52)*(AB52+AB53)</f>
        <v>0</v>
      </c>
      <c r="AE52" s="20"/>
      <c r="AF52" s="20"/>
      <c r="AJ52" s="20"/>
      <c r="AO52" s="20"/>
      <c r="AP52" s="20"/>
      <c r="AU52" s="20"/>
      <c r="AV52" s="20"/>
      <c r="AZ52" s="1"/>
      <c r="BA52" s="20"/>
      <c r="BE52" s="20"/>
      <c r="BF52" s="20"/>
    </row>
    <row r="53" spans="2:58">
      <c r="B53" s="59">
        <v>248</v>
      </c>
      <c r="C53" s="36">
        <v>0.17058582993341739</v>
      </c>
      <c r="V53" s="61">
        <f t="shared" si="1"/>
        <v>248</v>
      </c>
      <c r="W53" s="61">
        <f t="shared" si="2"/>
        <v>0.17058582993341739</v>
      </c>
      <c r="X53" s="33">
        <f>VLOOKUP(V53,'Hazard Weighting Functions'!$B$5:$G$1205,2,FALSE)</f>
        <v>0.40050000000000002</v>
      </c>
      <c r="Y53" s="33">
        <f t="shared" si="3"/>
        <v>6.8319624888333666E-2</v>
      </c>
      <c r="Z53" s="61">
        <f t="shared" si="4"/>
        <v>0.15072181488833367</v>
      </c>
      <c r="AA53" s="33">
        <f>VLOOKUP(V53,'Hazard Weighting Functions'!$B$5:$G$1205,5,FALSE)</f>
        <v>0</v>
      </c>
      <c r="AB53" s="33">
        <f>AA53*W53</f>
        <v>0</v>
      </c>
      <c r="AC53" s="33">
        <f>0.5*(V54-V53)*(AB53+AB54)</f>
        <v>0</v>
      </c>
      <c r="AE53" s="20"/>
      <c r="AF53" s="20"/>
      <c r="AJ53" s="20"/>
      <c r="AO53" s="20"/>
      <c r="AP53" s="20"/>
      <c r="AU53" s="20"/>
      <c r="AV53" s="20"/>
      <c r="AZ53" s="1"/>
      <c r="BA53" s="20"/>
      <c r="BE53" s="20"/>
      <c r="BF53" s="20"/>
    </row>
    <row r="54" spans="2:58">
      <c r="B54" s="59">
        <v>250</v>
      </c>
      <c r="C54" s="36">
        <v>0.191633</v>
      </c>
      <c r="V54" s="61">
        <f t="shared" si="1"/>
        <v>250</v>
      </c>
      <c r="W54" s="61">
        <f t="shared" si="2"/>
        <v>0.191633</v>
      </c>
      <c r="X54" s="33">
        <f>VLOOKUP(V54,'Hazard Weighting Functions'!$B$5:$G$1205,2,FALSE)</f>
        <v>0.43</v>
      </c>
      <c r="Y54" s="33">
        <f t="shared" si="3"/>
        <v>8.240219E-2</v>
      </c>
      <c r="Z54" s="61">
        <f t="shared" si="4"/>
        <v>0.18230043415311892</v>
      </c>
      <c r="AA54" s="33">
        <f>VLOOKUP(V54,'Hazard Weighting Functions'!$B$5:$G$1205,5,FALSE)</f>
        <v>0</v>
      </c>
      <c r="AB54" s="33">
        <f>AA54*W54</f>
        <v>0</v>
      </c>
      <c r="AC54" s="33">
        <f>0.5*(V55-V54)*(AB54+AB55)</f>
        <v>0</v>
      </c>
      <c r="AE54" s="20"/>
      <c r="AF54" s="20"/>
      <c r="AJ54" s="20"/>
      <c r="AO54" s="20"/>
      <c r="AP54" s="20"/>
      <c r="AU54" s="20"/>
      <c r="AV54" s="20"/>
      <c r="AZ54" s="1"/>
      <c r="BA54" s="20"/>
      <c r="BE54" s="20"/>
      <c r="BF54" s="20"/>
    </row>
    <row r="55" spans="2:58">
      <c r="B55" s="59">
        <v>252</v>
      </c>
      <c r="C55" s="36">
        <v>0.21543723129850967</v>
      </c>
      <c r="V55" s="61">
        <f t="shared" si="1"/>
        <v>252</v>
      </c>
      <c r="W55" s="61">
        <f t="shared" si="2"/>
        <v>0.21543723129850967</v>
      </c>
      <c r="X55" s="33">
        <f>VLOOKUP(V55,'Hazard Weighting Functions'!$B$5:$G$1205,2,FALSE)</f>
        <v>0.4637</v>
      </c>
      <c r="Y55" s="33">
        <f t="shared" si="3"/>
        <v>9.9898244153118931E-2</v>
      </c>
      <c r="Z55" s="61">
        <f t="shared" si="4"/>
        <v>0.22074176961818584</v>
      </c>
      <c r="AA55" s="33">
        <f>VLOOKUP(V55,'Hazard Weighting Functions'!$B$5:$G$1205,5,FALSE)</f>
        <v>0</v>
      </c>
      <c r="AB55" s="33">
        <f>AA55*W55</f>
        <v>0</v>
      </c>
      <c r="AC55" s="33">
        <f>0.5*(V56-V55)*(AB55+AB56)</f>
        <v>0</v>
      </c>
      <c r="AE55" s="20"/>
      <c r="AF55" s="20"/>
      <c r="AJ55" s="20"/>
      <c r="AO55" s="20"/>
      <c r="AP55" s="20"/>
      <c r="AU55" s="20"/>
      <c r="AV55" s="20"/>
      <c r="AZ55" s="1"/>
      <c r="BA55" s="20"/>
      <c r="BE55" s="20"/>
      <c r="BF55" s="20"/>
    </row>
    <row r="56" spans="2:58">
      <c r="B56" s="59">
        <v>254</v>
      </c>
      <c r="C56" s="36">
        <v>0.24168705093013382</v>
      </c>
      <c r="V56" s="61">
        <f t="shared" si="1"/>
        <v>254</v>
      </c>
      <c r="W56" s="61">
        <f t="shared" si="2"/>
        <v>0.24168705093013382</v>
      </c>
      <c r="X56" s="33">
        <f>VLOOKUP(V56,'Hazard Weighting Functions'!$B$5:$G$1205,2,FALSE)</f>
        <v>0.5</v>
      </c>
      <c r="Y56" s="33">
        <f t="shared" si="3"/>
        <v>0.12084352546506691</v>
      </c>
      <c r="Z56" s="61">
        <f t="shared" si="4"/>
        <v>0.26759640481881097</v>
      </c>
      <c r="AA56" s="33">
        <f>VLOOKUP(V56,'Hazard Weighting Functions'!$B$5:$G$1205,5,FALSE)</f>
        <v>0</v>
      </c>
      <c r="AB56" s="33">
        <f>AA56*W56</f>
        <v>0</v>
      </c>
      <c r="AC56" s="33">
        <f>0.5*(V57-V56)*(AB56+AB57)</f>
        <v>0</v>
      </c>
      <c r="AE56" s="20"/>
      <c r="AF56" s="20"/>
      <c r="AJ56" s="20"/>
      <c r="AO56" s="20"/>
      <c r="AP56" s="20"/>
      <c r="AU56" s="20"/>
      <c r="AV56" s="20"/>
      <c r="AZ56" s="1"/>
      <c r="BA56" s="20"/>
      <c r="BE56" s="20"/>
      <c r="BF56" s="20"/>
    </row>
    <row r="57" spans="2:58">
      <c r="B57" s="59">
        <v>256</v>
      </c>
      <c r="C57" s="36">
        <v>0.26991517262045994</v>
      </c>
      <c r="V57" s="61">
        <f t="shared" si="1"/>
        <v>256</v>
      </c>
      <c r="W57" s="61">
        <f t="shared" si="2"/>
        <v>0.26991517262045994</v>
      </c>
      <c r="X57" s="33">
        <f>VLOOKUP(V57,'Hazard Weighting Functions'!$B$5:$G$1205,2,FALSE)</f>
        <v>0.54369999999999996</v>
      </c>
      <c r="Y57" s="33">
        <f t="shared" si="3"/>
        <v>0.14675287935374406</v>
      </c>
      <c r="Z57" s="61">
        <f t="shared" si="4"/>
        <v>0.32520493995050581</v>
      </c>
      <c r="AA57" s="33">
        <f>VLOOKUP(V57,'Hazard Weighting Functions'!$B$5:$G$1205,5,FALSE)</f>
        <v>0</v>
      </c>
      <c r="AB57" s="33">
        <f>AA57*W57</f>
        <v>0</v>
      </c>
      <c r="AC57" s="33">
        <f>0.5*(V58-V57)*(AB57+AB58)</f>
        <v>0</v>
      </c>
      <c r="AE57" s="20"/>
      <c r="AF57" s="20"/>
      <c r="AJ57" s="20"/>
      <c r="AO57" s="20"/>
      <c r="AP57" s="20"/>
      <c r="AU57" s="20"/>
      <c r="AV57" s="20"/>
      <c r="AZ57" s="1"/>
      <c r="BA57" s="20"/>
      <c r="BE57" s="20"/>
      <c r="BF57" s="20"/>
    </row>
    <row r="58" spans="2:58">
      <c r="B58" s="59">
        <v>258</v>
      </c>
      <c r="C58" s="36">
        <v>0.30017167467916195</v>
      </c>
      <c r="V58" s="61">
        <f t="shared" si="1"/>
        <v>258</v>
      </c>
      <c r="W58" s="61">
        <f t="shared" si="2"/>
        <v>0.30017167467916195</v>
      </c>
      <c r="X58" s="33">
        <f>VLOOKUP(V58,'Hazard Weighting Functions'!$B$5:$G$1205,2,FALSE)</f>
        <v>0.59450000000000003</v>
      </c>
      <c r="Y58" s="33">
        <f t="shared" si="3"/>
        <v>0.17845206059676177</v>
      </c>
      <c r="Z58" s="61">
        <f t="shared" si="4"/>
        <v>0.39491766059676181</v>
      </c>
      <c r="AA58" s="33">
        <f>VLOOKUP(V58,'Hazard Weighting Functions'!$B$5:$G$1205,5,FALSE)</f>
        <v>0</v>
      </c>
      <c r="AB58" s="33">
        <f>AA58*W58</f>
        <v>0</v>
      </c>
      <c r="AC58" s="33">
        <f>0.5*(V59-V58)*(AB58+AB59)</f>
        <v>0</v>
      </c>
      <c r="AE58" s="20"/>
      <c r="AF58" s="20"/>
      <c r="AJ58" s="20"/>
      <c r="AO58" s="20"/>
      <c r="AP58" s="20"/>
      <c r="AU58" s="20"/>
      <c r="AV58" s="20"/>
      <c r="AZ58" s="1"/>
      <c r="BA58" s="20"/>
      <c r="BE58" s="20"/>
      <c r="BF58" s="20"/>
    </row>
    <row r="59" spans="2:58">
      <c r="B59" s="59">
        <v>260</v>
      </c>
      <c r="C59" s="36">
        <v>0.33302399999999999</v>
      </c>
      <c r="V59" s="61">
        <f t="shared" si="1"/>
        <v>260</v>
      </c>
      <c r="W59" s="61">
        <f t="shared" si="2"/>
        <v>0.33302399999999999</v>
      </c>
      <c r="X59" s="33">
        <f>VLOOKUP(V59,'Hazard Weighting Functions'!$B$5:$G$1205,2,FALSE)</f>
        <v>0.65</v>
      </c>
      <c r="Y59" s="33">
        <f t="shared" si="3"/>
        <v>0.21646560000000001</v>
      </c>
      <c r="Z59" s="61">
        <f t="shared" si="4"/>
        <v>0.47833455960297211</v>
      </c>
      <c r="AA59" s="33">
        <f>VLOOKUP(V59,'Hazard Weighting Functions'!$B$5:$G$1205,5,FALSE)</f>
        <v>0</v>
      </c>
      <c r="AB59" s="33">
        <f>AA59*W59</f>
        <v>0</v>
      </c>
      <c r="AC59" s="33">
        <f>0.5*(V60-V59)*(AB59+AB60)</f>
        <v>0</v>
      </c>
      <c r="AE59" s="20"/>
      <c r="AF59" s="20"/>
      <c r="AJ59" s="20"/>
      <c r="AO59" s="20"/>
      <c r="AP59" s="20"/>
      <c r="AU59" s="20"/>
      <c r="AV59" s="20"/>
      <c r="AZ59" s="1"/>
      <c r="BA59" s="20"/>
      <c r="BE59" s="20"/>
      <c r="BF59" s="20"/>
    </row>
    <row r="60" spans="2:58">
      <c r="B60" s="59">
        <v>262</v>
      </c>
      <c r="C60" s="36">
        <v>0.36893344548178664</v>
      </c>
      <c r="V60" s="61">
        <f t="shared" si="1"/>
        <v>262</v>
      </c>
      <c r="W60" s="61">
        <f t="shared" si="2"/>
        <v>0.36893344548178664</v>
      </c>
      <c r="X60" s="33">
        <f>VLOOKUP(V60,'Hazard Weighting Functions'!$B$5:$G$1205,2,FALSE)</f>
        <v>0.70979999999999999</v>
      </c>
      <c r="Y60" s="33">
        <f t="shared" si="3"/>
        <v>0.26186895960297213</v>
      </c>
      <c r="Z60" s="61">
        <f t="shared" si="4"/>
        <v>0.57799097366318875</v>
      </c>
      <c r="AA60" s="33">
        <f>VLOOKUP(V60,'Hazard Weighting Functions'!$B$5:$G$1205,5,FALSE)</f>
        <v>0</v>
      </c>
      <c r="AB60" s="33">
        <f>AA60*W60</f>
        <v>0</v>
      </c>
      <c r="AC60" s="33">
        <f>0.5*(V61-V60)*(AB60+AB61)</f>
        <v>0</v>
      </c>
      <c r="AE60" s="20"/>
      <c r="AF60" s="20"/>
      <c r="AJ60" s="20"/>
      <c r="AO60" s="20"/>
      <c r="AP60" s="20"/>
      <c r="AU60" s="20"/>
      <c r="AV60" s="20"/>
      <c r="AZ60" s="1"/>
      <c r="BA60" s="20"/>
      <c r="BE60" s="20"/>
      <c r="BF60" s="20"/>
    </row>
    <row r="61" spans="2:58">
      <c r="B61" s="59">
        <v>264</v>
      </c>
      <c r="C61" s="36">
        <v>0.4078467475941383</v>
      </c>
      <c r="V61" s="61">
        <f t="shared" si="1"/>
        <v>264</v>
      </c>
      <c r="W61" s="61">
        <f t="shared" si="2"/>
        <v>0.4078467475941383</v>
      </c>
      <c r="X61" s="33">
        <f>VLOOKUP(V61,'Hazard Weighting Functions'!$B$5:$G$1205,2,FALSE)</f>
        <v>0.77510000000000001</v>
      </c>
      <c r="Y61" s="33">
        <f t="shared" si="3"/>
        <v>0.31612201406021662</v>
      </c>
      <c r="Z61" s="61">
        <f t="shared" si="4"/>
        <v>0.69599234971151858</v>
      </c>
      <c r="AA61" s="33">
        <f>VLOOKUP(V61,'Hazard Weighting Functions'!$B$5:$G$1205,5,FALSE)</f>
        <v>0</v>
      </c>
      <c r="AB61" s="33">
        <f>AA61*W61</f>
        <v>0</v>
      </c>
      <c r="AC61" s="33">
        <f>0.5*(V62-V61)*(AB61+AB62)</f>
        <v>0</v>
      </c>
      <c r="AE61" s="20"/>
      <c r="AF61" s="20"/>
      <c r="AJ61" s="20"/>
      <c r="AO61" s="20"/>
      <c r="AP61" s="20"/>
      <c r="AU61" s="20"/>
      <c r="AV61" s="20"/>
      <c r="AZ61" s="1"/>
      <c r="BA61" s="20"/>
      <c r="BE61" s="20"/>
      <c r="BF61" s="20"/>
    </row>
    <row r="62" spans="2:58">
      <c r="B62" s="59">
        <v>266</v>
      </c>
      <c r="C62" s="36">
        <v>0.44960390064066991</v>
      </c>
      <c r="V62" s="61">
        <f t="shared" si="1"/>
        <v>266</v>
      </c>
      <c r="W62" s="61">
        <f t="shared" si="2"/>
        <v>0.44960390064066991</v>
      </c>
      <c r="X62" s="33">
        <f>VLOOKUP(V62,'Hazard Weighting Functions'!$B$5:$G$1205,2,FALSE)</f>
        <v>0.84489999999999998</v>
      </c>
      <c r="Y62" s="33">
        <f t="shared" si="3"/>
        <v>0.37987033565130202</v>
      </c>
      <c r="Z62" s="61">
        <f t="shared" si="4"/>
        <v>0.8344593642589041</v>
      </c>
      <c r="AA62" s="33">
        <f>VLOOKUP(V62,'Hazard Weighting Functions'!$B$5:$G$1205,5,FALSE)</f>
        <v>0</v>
      </c>
      <c r="AB62" s="33">
        <f>AA62*W62</f>
        <v>0</v>
      </c>
      <c r="AC62" s="33">
        <f>0.5*(V63-V62)*(AB62+AB63)</f>
        <v>0</v>
      </c>
      <c r="AE62" s="20"/>
      <c r="AF62" s="20"/>
      <c r="AJ62" s="20"/>
      <c r="AO62" s="20"/>
      <c r="AP62" s="20"/>
      <c r="AU62" s="20"/>
      <c r="AV62" s="20"/>
      <c r="AZ62" s="1"/>
      <c r="BA62" s="20"/>
      <c r="BE62" s="20"/>
      <c r="BF62" s="20"/>
    </row>
    <row r="63" spans="2:58">
      <c r="B63" s="59">
        <v>268</v>
      </c>
      <c r="C63" s="36">
        <v>0.49454855157484995</v>
      </c>
      <c r="V63" s="61">
        <f t="shared" si="1"/>
        <v>268</v>
      </c>
      <c r="W63" s="61">
        <f t="shared" si="2"/>
        <v>0.49454855157484995</v>
      </c>
      <c r="X63" s="33">
        <f>VLOOKUP(V63,'Hazard Weighting Functions'!$B$5:$G$1205,2,FALSE)</f>
        <v>0.91920000000000002</v>
      </c>
      <c r="Y63" s="33">
        <f t="shared" si="3"/>
        <v>0.45458902860760209</v>
      </c>
      <c r="Z63" s="61">
        <f t="shared" si="4"/>
        <v>0.9981170286076021</v>
      </c>
      <c r="AA63" s="33">
        <f>VLOOKUP(V63,'Hazard Weighting Functions'!$B$5:$G$1205,5,FALSE)</f>
        <v>0</v>
      </c>
      <c r="AB63" s="33">
        <f>AA63*W63</f>
        <v>0</v>
      </c>
      <c r="AC63" s="33">
        <f>0.5*(V64-V63)*(AB63+AB64)</f>
        <v>0</v>
      </c>
      <c r="AE63" s="20"/>
      <c r="AF63" s="20"/>
      <c r="AJ63" s="20"/>
      <c r="AO63" s="20"/>
      <c r="AP63" s="20"/>
      <c r="AU63" s="20"/>
      <c r="AV63" s="20"/>
      <c r="AZ63" s="1"/>
      <c r="BA63" s="20"/>
      <c r="BE63" s="20"/>
      <c r="BF63" s="20"/>
    </row>
    <row r="64" spans="2:58">
      <c r="B64" s="59">
        <v>270</v>
      </c>
      <c r="C64" s="36">
        <v>0.54352800000000001</v>
      </c>
      <c r="V64" s="61">
        <f t="shared" si="1"/>
        <v>270</v>
      </c>
      <c r="W64" s="61">
        <f t="shared" si="2"/>
        <v>0.54352800000000001</v>
      </c>
      <c r="X64" s="33">
        <f>VLOOKUP(V64,'Hazard Weighting Functions'!$B$5:$G$1205,2,FALSE)</f>
        <v>1</v>
      </c>
      <c r="Y64" s="33">
        <f t="shared" si="3"/>
        <v>0.54352800000000001</v>
      </c>
      <c r="Z64" s="61">
        <f t="shared" si="4"/>
        <v>1.1308944305006703</v>
      </c>
      <c r="AA64" s="33">
        <f>VLOOKUP(V64,'Hazard Weighting Functions'!$B$5:$G$1205,5,FALSE)</f>
        <v>0</v>
      </c>
      <c r="AB64" s="33">
        <f>AA64*W64</f>
        <v>0</v>
      </c>
      <c r="AC64" s="33">
        <f>0.5*(V65-V64)*(AB64+AB65)</f>
        <v>0</v>
      </c>
      <c r="AE64" s="20"/>
      <c r="AF64" s="20"/>
      <c r="AJ64" s="20"/>
      <c r="AO64" s="20"/>
      <c r="AP64" s="20"/>
      <c r="AU64" s="20"/>
      <c r="AV64" s="20"/>
      <c r="AZ64" s="1"/>
      <c r="BA64" s="20"/>
      <c r="BE64" s="20"/>
      <c r="BF64" s="20"/>
    </row>
    <row r="65" spans="2:58">
      <c r="B65" s="59">
        <v>272</v>
      </c>
      <c r="C65" s="36">
        <v>0.59703845344650375</v>
      </c>
      <c r="V65" s="61">
        <f t="shared" si="1"/>
        <v>272</v>
      </c>
      <c r="W65" s="61">
        <f t="shared" si="2"/>
        <v>0.59703845344650375</v>
      </c>
      <c r="X65" s="33">
        <f>VLOOKUP(V65,'Hazard Weighting Functions'!$B$5:$G$1205,2,FALSE)</f>
        <v>0.98380000000000001</v>
      </c>
      <c r="Y65" s="33">
        <f t="shared" si="3"/>
        <v>0.58736643050067039</v>
      </c>
      <c r="Z65" s="61">
        <f t="shared" si="4"/>
        <v>1.2204544883721238</v>
      </c>
      <c r="AA65" s="33">
        <f>VLOOKUP(V65,'Hazard Weighting Functions'!$B$5:$G$1205,5,FALSE)</f>
        <v>0</v>
      </c>
      <c r="AB65" s="33">
        <f>AA65*W65</f>
        <v>0</v>
      </c>
      <c r="AC65" s="33">
        <f>0.5*(V66-V65)*(AB65+AB66)</f>
        <v>0</v>
      </c>
      <c r="AE65" s="20"/>
      <c r="AF65" s="20"/>
      <c r="AJ65" s="20"/>
      <c r="AO65" s="20"/>
      <c r="AP65" s="20"/>
      <c r="AU65" s="20"/>
      <c r="AV65" s="20"/>
      <c r="AZ65" s="1"/>
      <c r="BA65" s="20"/>
      <c r="BE65" s="20"/>
      <c r="BF65" s="20"/>
    </row>
    <row r="66" spans="2:58">
      <c r="B66" s="59">
        <v>274</v>
      </c>
      <c r="C66" s="36">
        <v>0.65408415938780173</v>
      </c>
      <c r="V66" s="61">
        <f t="shared" si="1"/>
        <v>274</v>
      </c>
      <c r="W66" s="61">
        <f t="shared" si="2"/>
        <v>0.65408415938780173</v>
      </c>
      <c r="X66" s="33">
        <f>VLOOKUP(V66,'Hazard Weighting Functions'!$B$5:$G$1205,2,FALSE)</f>
        <v>0.96789999999999998</v>
      </c>
      <c r="Y66" s="33">
        <f t="shared" si="3"/>
        <v>0.63308805787145328</v>
      </c>
      <c r="Z66" s="61">
        <f t="shared" si="4"/>
        <v>1.3060799841198232</v>
      </c>
      <c r="AA66" s="33">
        <f>VLOOKUP(V66,'Hazard Weighting Functions'!$B$5:$G$1205,5,FALSE)</f>
        <v>0</v>
      </c>
      <c r="AB66" s="33">
        <f>AA66*W66</f>
        <v>0</v>
      </c>
      <c r="AC66" s="33">
        <f>0.5*(V67-V66)*(AB66+AB67)</f>
        <v>0</v>
      </c>
      <c r="AE66" s="20"/>
      <c r="AF66" s="20"/>
      <c r="AJ66" s="20"/>
      <c r="AO66" s="20"/>
      <c r="AP66" s="20"/>
      <c r="AU66" s="20"/>
      <c r="AV66" s="20"/>
      <c r="AZ66" s="1"/>
      <c r="BA66" s="20"/>
      <c r="BE66" s="20"/>
      <c r="BF66" s="20"/>
    </row>
    <row r="67" spans="2:58">
      <c r="B67" s="59">
        <v>276</v>
      </c>
      <c r="C67" s="36">
        <v>0.7133685883489187</v>
      </c>
      <c r="V67" s="61">
        <f t="shared" si="1"/>
        <v>276</v>
      </c>
      <c r="W67" s="61">
        <f t="shared" si="2"/>
        <v>0.7133685883489187</v>
      </c>
      <c r="X67" s="33">
        <f>VLOOKUP(V67,'Hazard Weighting Functions'!$B$5:$G$1205,2,FALSE)</f>
        <v>0.94340000000000002</v>
      </c>
      <c r="Y67" s="33">
        <f t="shared" si="3"/>
        <v>0.6729919262483699</v>
      </c>
      <c r="Z67" s="61">
        <f t="shared" si="4"/>
        <v>1.3794052949275635</v>
      </c>
      <c r="AA67" s="33">
        <f>VLOOKUP(V67,'Hazard Weighting Functions'!$B$5:$G$1205,5,FALSE)</f>
        <v>0</v>
      </c>
      <c r="AB67" s="33">
        <f>AA67*W67</f>
        <v>0</v>
      </c>
      <c r="AC67" s="33">
        <f>0.5*(V68-V67)*(AB67+AB68)</f>
        <v>0</v>
      </c>
      <c r="AE67" s="20"/>
      <c r="AF67" s="20"/>
      <c r="AJ67" s="20"/>
      <c r="AO67" s="20"/>
      <c r="AP67" s="20"/>
      <c r="AU67" s="20"/>
      <c r="AV67" s="20"/>
      <c r="AZ67" s="1"/>
      <c r="BA67" s="20"/>
      <c r="BE67" s="20"/>
      <c r="BF67" s="20"/>
    </row>
    <row r="68" spans="2:58">
      <c r="B68" s="59">
        <v>278</v>
      </c>
      <c r="C68" s="36">
        <v>0.77525611136873762</v>
      </c>
      <c r="V68" s="61">
        <f t="shared" si="1"/>
        <v>278</v>
      </c>
      <c r="W68" s="61">
        <f t="shared" si="2"/>
        <v>0.77525611136873762</v>
      </c>
      <c r="X68" s="33">
        <f>VLOOKUP(V68,'Hazard Weighting Functions'!$B$5:$G$1205,2,FALSE)</f>
        <v>0.91120000000000001</v>
      </c>
      <c r="Y68" s="33">
        <f t="shared" si="3"/>
        <v>0.70641336867919369</v>
      </c>
      <c r="Z68" s="61">
        <f t="shared" si="4"/>
        <v>1.4471727286791936</v>
      </c>
      <c r="AA68" s="33">
        <f>VLOOKUP(V68,'Hazard Weighting Functions'!$B$5:$G$1205,5,FALSE)</f>
        <v>0</v>
      </c>
      <c r="AB68" s="33">
        <f>AA68*W68</f>
        <v>0</v>
      </c>
      <c r="AC68" s="33">
        <f>0.5*(V69-V68)*(AB68+AB69)</f>
        <v>0</v>
      </c>
      <c r="AE68" s="20"/>
      <c r="AF68" s="20"/>
      <c r="AJ68" s="20"/>
      <c r="AO68" s="20"/>
      <c r="AP68" s="20"/>
      <c r="AU68" s="20"/>
      <c r="AV68" s="20"/>
      <c r="AZ68" s="1"/>
      <c r="BA68" s="20"/>
      <c r="BE68" s="20"/>
      <c r="BF68" s="20"/>
    </row>
    <row r="69" spans="2:58">
      <c r="B69" s="59">
        <v>280</v>
      </c>
      <c r="C69" s="36">
        <v>0.84177199999999996</v>
      </c>
      <c r="V69" s="61">
        <f t="shared" si="1"/>
        <v>280</v>
      </c>
      <c r="W69" s="61">
        <f t="shared" si="2"/>
        <v>0.84177199999999996</v>
      </c>
      <c r="X69" s="33">
        <f>VLOOKUP(V69,'Hazard Weighting Functions'!$B$5:$G$1205,2,FALSE)</f>
        <v>0.88</v>
      </c>
      <c r="Y69" s="33">
        <f t="shared" si="3"/>
        <v>0.74075935999999998</v>
      </c>
      <c r="Z69" s="61">
        <f t="shared" si="4"/>
        <v>1.5036791245461207</v>
      </c>
      <c r="AA69" s="33">
        <f>VLOOKUP(V69,'Hazard Weighting Functions'!$B$5:$G$1205,5,FALSE)</f>
        <v>0</v>
      </c>
      <c r="AB69" s="33">
        <f>AA69*W69</f>
        <v>0</v>
      </c>
      <c r="AC69" s="33">
        <f>0.5*(V70-V69)*(AB69+AB70)</f>
        <v>0</v>
      </c>
      <c r="AE69" s="20"/>
      <c r="AF69" s="20"/>
      <c r="AJ69" s="20"/>
      <c r="AO69" s="20"/>
      <c r="AP69" s="20"/>
      <c r="AU69" s="20"/>
      <c r="AV69" s="20"/>
      <c r="AZ69" s="1"/>
      <c r="BA69" s="20"/>
      <c r="BE69" s="20"/>
      <c r="BF69" s="20"/>
    </row>
    <row r="70" spans="2:58">
      <c r="B70" s="59">
        <v>282</v>
      </c>
      <c r="C70" s="36">
        <v>0.91455258276926488</v>
      </c>
      <c r="V70" s="61">
        <f t="shared" si="1"/>
        <v>282</v>
      </c>
      <c r="W70" s="61">
        <f t="shared" si="2"/>
        <v>0.91455258276926488</v>
      </c>
      <c r="X70" s="33">
        <f>VLOOKUP(V70,'Hazard Weighting Functions'!$B$5:$G$1205,2,FALSE)</f>
        <v>0.83420000000000005</v>
      </c>
      <c r="Y70" s="33">
        <f t="shared" si="3"/>
        <v>0.76291976454612076</v>
      </c>
      <c r="Z70" s="61">
        <f t="shared" si="4"/>
        <v>1.5484922316269059</v>
      </c>
      <c r="AA70" s="33">
        <f>VLOOKUP(V70,'Hazard Weighting Functions'!$B$5:$G$1205,5,FALSE)</f>
        <v>0</v>
      </c>
      <c r="AB70" s="33">
        <f>AA70*W70</f>
        <v>0</v>
      </c>
      <c r="AC70" s="33">
        <f>0.5*(V71-V70)*(AB70+AB71)</f>
        <v>0</v>
      </c>
      <c r="AE70" s="20"/>
      <c r="AF70" s="20"/>
      <c r="AJ70" s="20"/>
      <c r="AO70" s="20"/>
      <c r="AP70" s="20"/>
      <c r="AU70" s="20"/>
      <c r="AV70" s="20"/>
      <c r="AZ70" s="1"/>
      <c r="BA70" s="20"/>
      <c r="BE70" s="20"/>
      <c r="BF70" s="20"/>
    </row>
    <row r="71" spans="2:58">
      <c r="B71" s="59">
        <v>284</v>
      </c>
      <c r="C71" s="36">
        <v>0.99338956383508492</v>
      </c>
      <c r="V71" s="61">
        <f t="shared" si="1"/>
        <v>284</v>
      </c>
      <c r="W71" s="61">
        <f t="shared" si="2"/>
        <v>0.99338956383508492</v>
      </c>
      <c r="X71" s="33">
        <f>VLOOKUP(V71,'Hazard Weighting Functions'!$B$5:$G$1205,2,FALSE)</f>
        <v>0.79079999999999995</v>
      </c>
      <c r="Y71" s="33">
        <f t="shared" si="3"/>
        <v>0.7855724670807851</v>
      </c>
      <c r="Z71" s="61">
        <f t="shared" si="4"/>
        <v>1.5851393322539749</v>
      </c>
      <c r="AA71" s="33">
        <f>VLOOKUP(V71,'Hazard Weighting Functions'!$B$5:$G$1205,5,FALSE)</f>
        <v>0</v>
      </c>
      <c r="AB71" s="33">
        <f>AA71*W71</f>
        <v>0</v>
      </c>
      <c r="AC71" s="33">
        <f>0.5*(V72-V71)*(AB71+AB72)</f>
        <v>0</v>
      </c>
      <c r="AE71" s="20"/>
      <c r="AF71" s="20"/>
      <c r="AJ71" s="20"/>
      <c r="AO71" s="20"/>
      <c r="AP71" s="20"/>
      <c r="AU71" s="20"/>
      <c r="AV71" s="20"/>
      <c r="AZ71" s="1"/>
      <c r="BA71" s="20"/>
      <c r="BE71" s="20"/>
      <c r="BF71" s="20"/>
    </row>
    <row r="72" spans="2:58">
      <c r="B72" s="59">
        <v>286</v>
      </c>
      <c r="C72" s="36">
        <v>1.0775833762441911</v>
      </c>
      <c r="V72" s="61">
        <f t="shared" si="1"/>
        <v>286</v>
      </c>
      <c r="W72" s="61">
        <f t="shared" si="2"/>
        <v>1.0775833762441911</v>
      </c>
      <c r="X72" s="33">
        <f>VLOOKUP(V72,'Hazard Weighting Functions'!$B$5:$G$1205,2,FALSE)</f>
        <v>0.74199999999999999</v>
      </c>
      <c r="Y72" s="33">
        <f t="shared" si="3"/>
        <v>0.79956686517318976</v>
      </c>
      <c r="Z72" s="61">
        <f t="shared" si="4"/>
        <v>1.6028795447817203</v>
      </c>
      <c r="AA72" s="33">
        <f>VLOOKUP(V72,'Hazard Weighting Functions'!$B$5:$G$1205,5,FALSE)</f>
        <v>0</v>
      </c>
      <c r="AB72" s="33">
        <f>AA72*W72</f>
        <v>0</v>
      </c>
      <c r="AC72" s="33">
        <f>0.5*(V73-V72)*(AB72+AB73)</f>
        <v>0</v>
      </c>
      <c r="AE72" s="20"/>
      <c r="AF72" s="20"/>
      <c r="AJ72" s="20"/>
      <c r="AO72" s="20"/>
      <c r="AP72" s="20"/>
      <c r="AU72" s="20"/>
      <c r="AV72" s="20"/>
      <c r="AZ72" s="1"/>
      <c r="BA72" s="20"/>
      <c r="BE72" s="20"/>
      <c r="BF72" s="20"/>
    </row>
    <row r="73" spans="2:58">
      <c r="B73" s="59">
        <v>288</v>
      </c>
      <c r="C73" s="36">
        <v>1.1657418075874773</v>
      </c>
      <c r="V73" s="61">
        <f t="shared" si="1"/>
        <v>288</v>
      </c>
      <c r="W73" s="61">
        <f t="shared" si="2"/>
        <v>1.1657418075874773</v>
      </c>
      <c r="X73" s="33">
        <f>VLOOKUP(V73,'Hazard Weighting Functions'!$B$5:$G$1205,2,FALSE)</f>
        <v>0.68910000000000005</v>
      </c>
      <c r="Y73" s="33">
        <f t="shared" si="3"/>
        <v>0.80331267960853059</v>
      </c>
      <c r="Z73" s="61">
        <f t="shared" si="4"/>
        <v>1.6070118796085304</v>
      </c>
      <c r="AA73" s="33">
        <f>VLOOKUP(V73,'Hazard Weighting Functions'!$B$5:$G$1205,5,FALSE)</f>
        <v>0</v>
      </c>
      <c r="AB73" s="33">
        <f>AA73*W73</f>
        <v>0</v>
      </c>
      <c r="AC73" s="33">
        <f>0.5*(V74-V73)*(AB73+AB74)</f>
        <v>0</v>
      </c>
      <c r="AE73" s="20"/>
      <c r="AF73" s="20"/>
      <c r="AJ73" s="20"/>
      <c r="AO73" s="20"/>
      <c r="AP73" s="20"/>
      <c r="AU73" s="20"/>
      <c r="AV73" s="20"/>
      <c r="AZ73" s="1"/>
      <c r="BA73" s="20"/>
      <c r="BE73" s="20"/>
      <c r="BF73" s="20"/>
    </row>
    <row r="74" spans="2:58">
      <c r="B74" s="59">
        <v>290</v>
      </c>
      <c r="C74" s="36">
        <v>1.2557799999999999</v>
      </c>
      <c r="V74" s="61">
        <f t="shared" si="1"/>
        <v>290</v>
      </c>
      <c r="W74" s="61">
        <f t="shared" si="2"/>
        <v>1.2557799999999999</v>
      </c>
      <c r="X74" s="33">
        <f>VLOOKUP(V74,'Hazard Weighting Functions'!$B$5:$G$1205,2,FALSE)</f>
        <v>0.64</v>
      </c>
      <c r="Y74" s="33">
        <f t="shared" si="3"/>
        <v>0.80369919999999995</v>
      </c>
      <c r="Z74" s="61">
        <f t="shared" si="4"/>
        <v>1.609135894983277</v>
      </c>
      <c r="AA74" s="33">
        <f>VLOOKUP(V74,'Hazard Weighting Functions'!$B$5:$G$1205,5,FALSE)</f>
        <v>0</v>
      </c>
      <c r="AB74" s="33">
        <f>AA74*W74</f>
        <v>0</v>
      </c>
      <c r="AC74" s="33">
        <f>0.5*(V75-V74)*(AB74+AB75)</f>
        <v>0</v>
      </c>
      <c r="AE74" s="20"/>
      <c r="AF74" s="20"/>
      <c r="AJ74" s="20"/>
      <c r="AO74" s="20"/>
      <c r="AP74" s="20"/>
      <c r="AU74" s="20"/>
      <c r="AV74" s="20"/>
      <c r="AZ74" s="1"/>
      <c r="BA74" s="20"/>
      <c r="BE74" s="20"/>
      <c r="BF74" s="20"/>
    </row>
    <row r="75" spans="2:58">
      <c r="B75" s="59">
        <v>292</v>
      </c>
      <c r="C75" s="36">
        <v>1.3468841053232061</v>
      </c>
      <c r="V75" s="61">
        <f t="shared" si="1"/>
        <v>292</v>
      </c>
      <c r="W75" s="61">
        <f t="shared" si="2"/>
        <v>1.3468841053232061</v>
      </c>
      <c r="X75" s="33">
        <f>VLOOKUP(V75,'Hazard Weighting Functions'!$B$5:$G$1205,2,FALSE)</f>
        <v>0.59799999999999998</v>
      </c>
      <c r="Y75" s="33">
        <f t="shared" si="3"/>
        <v>0.80543669498327719</v>
      </c>
      <c r="Z75" s="61">
        <f t="shared" si="4"/>
        <v>1.6118892903865798</v>
      </c>
      <c r="AA75" s="33">
        <f>VLOOKUP(V75,'Hazard Weighting Functions'!$B$5:$G$1205,5,FALSE)</f>
        <v>0</v>
      </c>
      <c r="AB75" s="33">
        <f>AA75*W75</f>
        <v>0</v>
      </c>
      <c r="AC75" s="33">
        <f>0.5*(V76-V75)*(AB75+AB76)</f>
        <v>0</v>
      </c>
      <c r="AE75" s="20"/>
      <c r="AF75" s="20"/>
      <c r="AJ75" s="20"/>
      <c r="AO75" s="20"/>
      <c r="AP75" s="20"/>
      <c r="AU75" s="20"/>
      <c r="AV75" s="20"/>
      <c r="AZ75" s="1"/>
      <c r="BA75" s="20"/>
      <c r="BE75" s="20"/>
      <c r="BF75" s="20"/>
    </row>
    <row r="76" spans="2:58">
      <c r="B76" s="59">
        <v>294</v>
      </c>
      <c r="C76" s="36">
        <v>1.4434447743033874</v>
      </c>
      <c r="V76" s="61">
        <f t="shared" si="1"/>
        <v>294</v>
      </c>
      <c r="W76" s="61">
        <f t="shared" si="2"/>
        <v>1.4434447743033874</v>
      </c>
      <c r="X76" s="33">
        <f>VLOOKUP(V76,'Hazard Weighting Functions'!$B$5:$G$1205,2,FALSE)</f>
        <v>0.55869999999999997</v>
      </c>
      <c r="Y76" s="33">
        <f t="shared" si="3"/>
        <v>0.8064525954033025</v>
      </c>
      <c r="Z76" s="61">
        <f t="shared" si="4"/>
        <v>1.5794329131924698</v>
      </c>
      <c r="AA76" s="33">
        <f>VLOOKUP(V76,'Hazard Weighting Functions'!$B$5:$G$1205,5,FALSE)</f>
        <v>0</v>
      </c>
      <c r="AB76" s="33">
        <f>AA76*W76</f>
        <v>0</v>
      </c>
      <c r="AC76" s="33">
        <f>0.5*(V77-V76)*(AB76+AB77)</f>
        <v>0</v>
      </c>
      <c r="AE76" s="20"/>
      <c r="AF76" s="20"/>
      <c r="AJ76" s="20"/>
      <c r="AO76" s="20"/>
      <c r="AP76" s="20"/>
      <c r="AU76" s="20"/>
      <c r="AV76" s="20"/>
      <c r="AZ76" s="1"/>
      <c r="BA76" s="20"/>
      <c r="BE76" s="20"/>
      <c r="BF76" s="20"/>
    </row>
    <row r="77" spans="2:58">
      <c r="B77" s="59">
        <v>296</v>
      </c>
      <c r="C77" s="36">
        <v>1.5509235910697579</v>
      </c>
      <c r="V77" s="61">
        <f t="shared" si="1"/>
        <v>296</v>
      </c>
      <c r="W77" s="61">
        <f t="shared" si="2"/>
        <v>1.5509235910697579</v>
      </c>
      <c r="X77" s="33">
        <f>VLOOKUP(V77,'Hazard Weighting Functions'!$B$5:$G$1205,2,FALSE)</f>
        <v>0.49840000000000001</v>
      </c>
      <c r="Y77" s="33">
        <f t="shared" si="3"/>
        <v>0.77298031778916731</v>
      </c>
      <c r="Z77" s="61">
        <f t="shared" si="4"/>
        <v>1.4389389768188048</v>
      </c>
      <c r="AA77" s="33">
        <f>VLOOKUP(V77,'Hazard Weighting Functions'!$B$5:$G$1205,5,FALSE)</f>
        <v>0</v>
      </c>
      <c r="AB77" s="33">
        <f>AA77*W77</f>
        <v>0</v>
      </c>
      <c r="AC77" s="33">
        <f>0.5*(V78-V77)*(AB77+AB78)</f>
        <v>0</v>
      </c>
      <c r="AE77" s="20"/>
      <c r="AF77" s="20"/>
      <c r="AJ77" s="20"/>
      <c r="AO77" s="20"/>
      <c r="AP77" s="20"/>
      <c r="AU77" s="20"/>
      <c r="AV77" s="20"/>
      <c r="AZ77" s="1"/>
      <c r="BA77" s="20"/>
      <c r="BE77" s="20"/>
      <c r="BF77" s="20"/>
    </row>
    <row r="78" spans="2:58">
      <c r="B78" s="59">
        <v>298</v>
      </c>
      <c r="C78" s="36">
        <v>1.6694877388559473</v>
      </c>
      <c r="V78" s="61">
        <f t="shared" si="1"/>
        <v>298</v>
      </c>
      <c r="W78" s="61">
        <f t="shared" si="2"/>
        <v>1.6694877388559473</v>
      </c>
      <c r="X78" s="33">
        <f>VLOOKUP(V78,'Hazard Weighting Functions'!$B$5:$G$1205,2,FALSE)</f>
        <v>0.39889999999999998</v>
      </c>
      <c r="Y78" s="33">
        <f t="shared" si="3"/>
        <v>0.66595865902963736</v>
      </c>
      <c r="Z78" s="61">
        <f t="shared" si="4"/>
        <v>1.2041616590296373</v>
      </c>
      <c r="AA78" s="33">
        <f>VLOOKUP(V78,'Hazard Weighting Functions'!$B$5:$G$1205,5,FALSE)</f>
        <v>0</v>
      </c>
      <c r="AB78" s="33">
        <f>AA78*W78</f>
        <v>0</v>
      </c>
      <c r="AC78" s="33">
        <f>0.5*(V79-V78)*(AB78+AB79)</f>
        <v>0</v>
      </c>
      <c r="AE78" s="20"/>
      <c r="AF78" s="20"/>
      <c r="AJ78" s="20"/>
      <c r="AO78" s="20"/>
      <c r="AP78" s="20"/>
      <c r="AU78" s="20"/>
      <c r="AV78" s="20"/>
      <c r="AZ78" s="1"/>
      <c r="BA78" s="20"/>
      <c r="BE78" s="20"/>
      <c r="BF78" s="20"/>
    </row>
    <row r="79" spans="2:58">
      <c r="B79" s="59">
        <v>300</v>
      </c>
      <c r="C79" s="36">
        <v>1.7940100000000001</v>
      </c>
      <c r="V79" s="61">
        <f t="shared" si="1"/>
        <v>300</v>
      </c>
      <c r="W79" s="61">
        <f t="shared" si="2"/>
        <v>1.7940100000000001</v>
      </c>
      <c r="X79" s="33">
        <f>VLOOKUP(V79,'Hazard Weighting Functions'!$B$5:$G$1205,2,FALSE)</f>
        <v>0.3</v>
      </c>
      <c r="Y79" s="33">
        <f t="shared" si="3"/>
        <v>0.53820299999999999</v>
      </c>
      <c r="Z79" s="61">
        <f t="shared" si="4"/>
        <v>0.85106929447179125</v>
      </c>
      <c r="AA79" s="33">
        <f>VLOOKUP(V79,'Hazard Weighting Functions'!$B$5:$G$1205,5,FALSE)</f>
        <v>0</v>
      </c>
      <c r="AB79" s="33">
        <f>AA79*W79</f>
        <v>0</v>
      </c>
      <c r="AC79" s="33">
        <f>0.5*(V80-V79)*(AB79+AB80)</f>
        <v>0</v>
      </c>
      <c r="AE79" s="20"/>
      <c r="AF79" s="20"/>
      <c r="AJ79" s="20"/>
      <c r="AO79" s="20"/>
      <c r="AP79" s="20"/>
      <c r="AU79" s="20"/>
      <c r="AV79" s="20"/>
      <c r="AZ79" s="1"/>
      <c r="BA79" s="20"/>
      <c r="BE79" s="20"/>
      <c r="BF79" s="20"/>
    </row>
    <row r="80" spans="2:58">
      <c r="B80" s="59">
        <v>302</v>
      </c>
      <c r="C80" s="36">
        <v>1.9206034037556252</v>
      </c>
      <c r="V80" s="61">
        <f t="shared" si="1"/>
        <v>302</v>
      </c>
      <c r="W80" s="61">
        <f t="shared" si="2"/>
        <v>1.9206034037556252</v>
      </c>
      <c r="X80" s="33">
        <f>VLOOKUP(V80,'Hazard Weighting Functions'!$B$5:$G$1205,2,FALSE)</f>
        <v>0.16289999999999999</v>
      </c>
      <c r="Y80" s="33">
        <f t="shared" si="3"/>
        <v>0.31286629447179132</v>
      </c>
      <c r="Z80" s="61">
        <f t="shared" si="4"/>
        <v>0.48701850045359896</v>
      </c>
      <c r="AA80" s="33">
        <f>VLOOKUP(V80,'Hazard Weighting Functions'!$B$5:$G$1205,5,FALSE)</f>
        <v>0</v>
      </c>
      <c r="AB80" s="33">
        <f>AA80*W80</f>
        <v>0</v>
      </c>
      <c r="AC80" s="33">
        <f>0.5*(V81-V80)*(AB80+AB81)</f>
        <v>0</v>
      </c>
      <c r="AE80" s="20"/>
      <c r="AF80" s="20"/>
      <c r="AJ80" s="20"/>
      <c r="AO80" s="20"/>
      <c r="AP80" s="20"/>
      <c r="AU80" s="20"/>
      <c r="AV80" s="20"/>
      <c r="AZ80" s="1"/>
      <c r="BA80" s="20"/>
      <c r="BE80" s="20"/>
      <c r="BF80" s="20"/>
    </row>
    <row r="81" spans="2:58">
      <c r="B81" s="59">
        <v>304</v>
      </c>
      <c r="C81" s="36">
        <v>2.0512627324123391</v>
      </c>
      <c r="V81" s="61">
        <f t="shared" si="1"/>
        <v>304</v>
      </c>
      <c r="W81" s="61">
        <f t="shared" si="2"/>
        <v>2.0512627324123391</v>
      </c>
      <c r="X81" s="33">
        <f>VLOOKUP(V81,'Hazard Weighting Functions'!$B$5:$G$1205,2,FALSE)</f>
        <v>8.4900000000000003E-2</v>
      </c>
      <c r="Y81" s="33">
        <f t="shared" si="3"/>
        <v>0.17415220598180761</v>
      </c>
      <c r="Z81" s="61">
        <f t="shared" si="4"/>
        <v>0.27354785784025948</v>
      </c>
      <c r="AA81" s="33">
        <f>VLOOKUP(V81,'Hazard Weighting Functions'!$B$5:$G$1205,5,FALSE)</f>
        <v>0</v>
      </c>
      <c r="AB81" s="33">
        <f>AA81*W81</f>
        <v>0</v>
      </c>
      <c r="AC81" s="33">
        <f>0.5*(V82-V81)*(AB81+AB82)</f>
        <v>0</v>
      </c>
      <c r="AE81" s="20"/>
      <c r="AF81" s="20"/>
      <c r="AJ81" s="20"/>
      <c r="AO81" s="20"/>
      <c r="AP81" s="20"/>
      <c r="AU81" s="20"/>
      <c r="AV81" s="20"/>
      <c r="AZ81" s="1"/>
      <c r="BA81" s="20"/>
      <c r="BE81" s="20"/>
      <c r="BF81" s="20"/>
    </row>
    <row r="82" spans="2:58">
      <c r="B82" s="59">
        <v>306</v>
      </c>
      <c r="C82" s="36">
        <v>2.1893315387324193</v>
      </c>
      <c r="V82" s="61">
        <f t="shared" si="1"/>
        <v>306</v>
      </c>
      <c r="W82" s="61">
        <f t="shared" si="2"/>
        <v>2.1893315387324193</v>
      </c>
      <c r="X82" s="33">
        <f>VLOOKUP(V82,'Hazard Weighting Functions'!$B$5:$G$1205,2,FALSE)</f>
        <v>4.5400000000000003E-2</v>
      </c>
      <c r="Y82" s="33">
        <f t="shared" si="3"/>
        <v>9.9395651858451839E-2</v>
      </c>
      <c r="Z82" s="61">
        <f t="shared" si="4"/>
        <v>0.16011488228474224</v>
      </c>
      <c r="AA82" s="33">
        <f>VLOOKUP(V82,'Hazard Weighting Functions'!$B$5:$G$1205,5,FALSE)</f>
        <v>0</v>
      </c>
      <c r="AB82" s="33">
        <f>AA82*W82</f>
        <v>0</v>
      </c>
      <c r="AC82" s="33">
        <f>0.5*(V83-V82)*(AB82+AB83)</f>
        <v>0</v>
      </c>
      <c r="AE82" s="20"/>
      <c r="AF82" s="20"/>
      <c r="AJ82" s="20"/>
      <c r="AO82" s="20"/>
      <c r="AP82" s="20"/>
      <c r="AU82" s="20"/>
      <c r="AV82" s="20"/>
      <c r="AZ82" s="1"/>
      <c r="BA82" s="20"/>
      <c r="BE82" s="20"/>
      <c r="BF82" s="20"/>
    </row>
    <row r="83" spans="2:58">
      <c r="B83" s="59">
        <v>308</v>
      </c>
      <c r="C83" s="36">
        <v>2.335355016395785</v>
      </c>
      <c r="V83" s="61">
        <f t="shared" si="1"/>
        <v>308</v>
      </c>
      <c r="W83" s="61">
        <f t="shared" si="2"/>
        <v>2.335355016395785</v>
      </c>
      <c r="X83" s="33">
        <f>VLOOKUP(V83,'Hazard Weighting Functions'!$B$5:$G$1205,2,FALSE)</f>
        <v>2.5999999999999999E-2</v>
      </c>
      <c r="Y83" s="33">
        <f t="shared" si="3"/>
        <v>6.0719230426290405E-2</v>
      </c>
      <c r="Z83" s="61">
        <f t="shared" si="4"/>
        <v>9.8025430426290416E-2</v>
      </c>
      <c r="AA83" s="33">
        <f>VLOOKUP(V83,'Hazard Weighting Functions'!$B$5:$G$1205,5,FALSE)</f>
        <v>0</v>
      </c>
      <c r="AB83" s="33">
        <f>AA83*W83</f>
        <v>0</v>
      </c>
      <c r="AC83" s="33">
        <f>0.5*(V84-V83)*(AB83+AB84)</f>
        <v>0</v>
      </c>
      <c r="AE83" s="20"/>
      <c r="AF83" s="20"/>
      <c r="AJ83" s="20"/>
      <c r="AO83" s="20"/>
      <c r="AP83" s="20"/>
      <c r="AU83" s="20"/>
      <c r="AV83" s="20"/>
      <c r="AZ83" s="1"/>
      <c r="BA83" s="20"/>
      <c r="BE83" s="20"/>
      <c r="BF83" s="20"/>
    </row>
    <row r="84" spans="2:58">
      <c r="B84" s="59">
        <v>310</v>
      </c>
      <c r="C84" s="36">
        <v>2.4870800000000002</v>
      </c>
      <c r="V84" s="61">
        <f t="shared" si="1"/>
        <v>310</v>
      </c>
      <c r="W84" s="61">
        <f t="shared" si="2"/>
        <v>2.4870800000000002</v>
      </c>
      <c r="X84" s="33">
        <f>VLOOKUP(V84,'Hazard Weighting Functions'!$B$5:$G$1205,2,FALSE)</f>
        <v>1.4999999999999999E-2</v>
      </c>
      <c r="Y84" s="33">
        <f t="shared" si="3"/>
        <v>3.7306200000000005E-2</v>
      </c>
      <c r="Z84" s="61">
        <f t="shared" si="4"/>
        <v>5.8715687356769949E-2</v>
      </c>
      <c r="AA84" s="33">
        <f>VLOOKUP(V84,'Hazard Weighting Functions'!$B$5:$G$1205,5,FALSE)</f>
        <v>0</v>
      </c>
      <c r="AB84" s="33">
        <f>AA84*W84</f>
        <v>0</v>
      </c>
      <c r="AC84" s="33">
        <f>0.5*(V85-V84)*(AB84+AB85)</f>
        <v>0</v>
      </c>
      <c r="AE84" s="20"/>
      <c r="AF84" s="20"/>
      <c r="AJ84" s="20"/>
      <c r="AO84" s="20"/>
      <c r="AP84" s="20"/>
      <c r="AU84" s="20"/>
      <c r="AV84" s="20"/>
      <c r="AZ84" s="1"/>
      <c r="BA84" s="20"/>
      <c r="BE84" s="20"/>
      <c r="BF84" s="20"/>
    </row>
    <row r="85" spans="2:58">
      <c r="B85" s="59">
        <v>312</v>
      </c>
      <c r="C85" s="36">
        <v>2.6431465872555484</v>
      </c>
      <c r="V85" s="61">
        <f t="shared" si="1"/>
        <v>312</v>
      </c>
      <c r="W85" s="61">
        <f t="shared" si="2"/>
        <v>2.6431465872555484</v>
      </c>
      <c r="X85" s="33">
        <f>VLOOKUP(V85,'Hazard Weighting Functions'!$B$5:$G$1205,2,FALSE)</f>
        <v>8.0999999999999996E-3</v>
      </c>
      <c r="Y85" s="33">
        <f t="shared" si="3"/>
        <v>2.1409487356769941E-2</v>
      </c>
      <c r="Z85" s="61">
        <f t="shared" si="4"/>
        <v>3.3195756674541249E-2</v>
      </c>
      <c r="AA85" s="33">
        <f>VLOOKUP(V85,'Hazard Weighting Functions'!$B$5:$G$1205,5,FALSE)</f>
        <v>0</v>
      </c>
      <c r="AB85" s="33">
        <f>AA85*W85</f>
        <v>0</v>
      </c>
      <c r="AC85" s="33">
        <f>0.5*(V86-V85)*(AB85+AB86)</f>
        <v>0</v>
      </c>
      <c r="AE85" s="20"/>
      <c r="AF85" s="20"/>
      <c r="AJ85" s="20"/>
      <c r="AO85" s="20"/>
      <c r="AP85" s="20"/>
      <c r="AU85" s="20"/>
      <c r="AV85" s="20"/>
      <c r="AZ85" s="1"/>
      <c r="BA85" s="20"/>
      <c r="BE85" s="20"/>
      <c r="BF85" s="20"/>
    </row>
    <row r="86" spans="2:58">
      <c r="B86" s="59">
        <v>314</v>
      </c>
      <c r="C86" s="36">
        <v>2.8062545994693591</v>
      </c>
      <c r="V86" s="61">
        <f t="shared" si="1"/>
        <v>314</v>
      </c>
      <c r="W86" s="61">
        <f t="shared" si="2"/>
        <v>2.8062545994693591</v>
      </c>
      <c r="X86" s="33">
        <f>VLOOKUP(V86,'Hazard Weighting Functions'!$B$5:$G$1205,2,FALSE)</f>
        <v>4.1999999999999997E-3</v>
      </c>
      <c r="Y86" s="33">
        <f t="shared" si="3"/>
        <v>1.1786269317771308E-2</v>
      </c>
      <c r="Z86" s="61">
        <f t="shared" si="4"/>
        <v>1.8938290704613163E-2</v>
      </c>
      <c r="AA86" s="33">
        <f>VLOOKUP(V86,'Hazard Weighting Functions'!$B$5:$G$1205,5,FALSE)</f>
        <v>0</v>
      </c>
      <c r="AB86" s="33">
        <f>AA86*W86</f>
        <v>0</v>
      </c>
      <c r="AC86" s="33">
        <f>0.5*(V87-V86)*(AB86+AB87)</f>
        <v>0</v>
      </c>
      <c r="AE86" s="20"/>
      <c r="AF86" s="20"/>
      <c r="AJ86" s="20"/>
      <c r="AO86" s="20"/>
      <c r="AP86" s="20"/>
      <c r="AU86" s="20"/>
      <c r="AV86" s="20"/>
      <c r="AZ86" s="1"/>
      <c r="BA86" s="20"/>
      <c r="BE86" s="20"/>
      <c r="BF86" s="20"/>
    </row>
    <row r="87" spans="2:58">
      <c r="B87" s="59">
        <v>316</v>
      </c>
      <c r="C87" s="36">
        <v>2.9800089111841057</v>
      </c>
      <c r="V87" s="61">
        <f t="shared" si="1"/>
        <v>316</v>
      </c>
      <c r="W87" s="61">
        <f t="shared" si="2"/>
        <v>2.9800089111841057</v>
      </c>
      <c r="X87" s="33">
        <f>VLOOKUP(V87,'Hazard Weighting Functions'!$B$5:$G$1205,2,FALSE)</f>
        <v>2.3999999999999998E-3</v>
      </c>
      <c r="Y87" s="33">
        <f t="shared" si="3"/>
        <v>7.1520213868418534E-3</v>
      </c>
      <c r="Z87" s="61">
        <f t="shared" si="4"/>
        <v>1.2216800923937919E-2</v>
      </c>
      <c r="AA87" s="33">
        <f>VLOOKUP(V87,'Hazard Weighting Functions'!$B$5:$G$1205,5,FALSE)</f>
        <v>0</v>
      </c>
      <c r="AB87" s="33">
        <f>AA87*W87</f>
        <v>0</v>
      </c>
      <c r="AC87" s="33">
        <f>0.5*(V88-V87)*(AB87+AB88)</f>
        <v>0</v>
      </c>
      <c r="AE87" s="20"/>
      <c r="AF87" s="20"/>
      <c r="AJ87" s="20"/>
      <c r="AO87" s="20"/>
      <c r="AP87" s="20"/>
      <c r="AU87" s="20"/>
      <c r="AV87" s="20"/>
      <c r="AZ87" s="1"/>
      <c r="BA87" s="20"/>
      <c r="BE87" s="20"/>
      <c r="BF87" s="20"/>
    </row>
    <row r="88" spans="2:58">
      <c r="B88" s="59">
        <v>318</v>
      </c>
      <c r="C88" s="36">
        <v>3.1654872106850416</v>
      </c>
      <c r="V88" s="61">
        <f t="shared" si="1"/>
        <v>318</v>
      </c>
      <c r="W88" s="61">
        <f t="shared" si="2"/>
        <v>3.1654872106850416</v>
      </c>
      <c r="X88" s="33">
        <f>VLOOKUP(V88,'Hazard Weighting Functions'!$B$5:$G$1205,2,FALSE)</f>
        <v>1.6000000000000001E-3</v>
      </c>
      <c r="Y88" s="33">
        <f t="shared" si="3"/>
        <v>5.0647795370960666E-3</v>
      </c>
      <c r="Z88" s="61">
        <f t="shared" si="4"/>
        <v>8.4260195370960671E-3</v>
      </c>
      <c r="AA88" s="33">
        <f>VLOOKUP(V88,'Hazard Weighting Functions'!$B$5:$G$1205,5,FALSE)</f>
        <v>0</v>
      </c>
      <c r="AB88" s="33">
        <f>AA88*W88</f>
        <v>0</v>
      </c>
      <c r="AC88" s="33">
        <f>0.5*(V89-V88)*(AB88+AB89)</f>
        <v>0</v>
      </c>
      <c r="AE88" s="20"/>
      <c r="AF88" s="20"/>
      <c r="AJ88" s="20"/>
      <c r="AO88" s="20"/>
      <c r="AP88" s="20"/>
      <c r="AU88" s="20"/>
      <c r="AV88" s="20"/>
      <c r="AZ88" s="1"/>
      <c r="BA88" s="20"/>
      <c r="BE88" s="20"/>
      <c r="BF88" s="20"/>
    </row>
    <row r="89" spans="2:58">
      <c r="B89" s="59">
        <v>320</v>
      </c>
      <c r="C89" s="36">
        <v>3.36124</v>
      </c>
      <c r="V89" s="61">
        <f t="shared" si="1"/>
        <v>320</v>
      </c>
      <c r="W89" s="61">
        <f t="shared" si="2"/>
        <v>3.36124</v>
      </c>
      <c r="X89" s="33">
        <f>VLOOKUP(V89,'Hazard Weighting Functions'!$B$5:$G$1205,2,FALSE)</f>
        <v>1E-3</v>
      </c>
      <c r="Y89" s="33">
        <f t="shared" si="3"/>
        <v>3.3612400000000001E-3</v>
      </c>
      <c r="Z89" s="61">
        <f t="shared" si="4"/>
        <v>5.7501262447407758E-3</v>
      </c>
      <c r="AA89" s="33">
        <f>VLOOKUP(V89,'Hazard Weighting Functions'!$B$5:$G$1205,5,FALSE)</f>
        <v>0</v>
      </c>
      <c r="AB89" s="33">
        <f>AA89*W89</f>
        <v>0</v>
      </c>
      <c r="AC89" s="33">
        <f>0.5*(V90-V89)*(AB89+AB90)</f>
        <v>0</v>
      </c>
      <c r="AE89" s="20"/>
      <c r="AF89" s="20"/>
      <c r="AJ89" s="20"/>
      <c r="AO89" s="20"/>
      <c r="AP89" s="20"/>
      <c r="AU89" s="20"/>
      <c r="AV89" s="20"/>
      <c r="AZ89" s="1"/>
      <c r="BA89" s="20"/>
      <c r="BE89" s="20"/>
      <c r="BF89" s="20"/>
    </row>
    <row r="90" spans="2:58">
      <c r="B90" s="59">
        <v>322</v>
      </c>
      <c r="C90" s="36">
        <v>3.5655018578220528</v>
      </c>
      <c r="V90" s="61">
        <f t="shared" si="1"/>
        <v>322</v>
      </c>
      <c r="W90" s="61">
        <f t="shared" si="2"/>
        <v>3.5655018578220528</v>
      </c>
      <c r="X90" s="33">
        <f>VLOOKUP(V90,'Hazard Weighting Functions'!$B$5:$G$1205,2,FALSE)</f>
        <v>6.7000000000000002E-4</v>
      </c>
      <c r="Y90" s="33">
        <f t="shared" si="3"/>
        <v>2.3888862447407756E-3</v>
      </c>
      <c r="Z90" s="61">
        <f t="shared" si="4"/>
        <v>4.352241498423292E-3</v>
      </c>
      <c r="AA90" s="33">
        <f>VLOOKUP(V90,'Hazard Weighting Functions'!$B$5:$G$1205,5,FALSE)</f>
        <v>0</v>
      </c>
      <c r="AB90" s="33">
        <f>AA90*W90</f>
        <v>0</v>
      </c>
      <c r="AC90" s="33">
        <f>0.5*(V91-V90)*(AB90+AB91)</f>
        <v>0</v>
      </c>
      <c r="AE90" s="20"/>
      <c r="AF90" s="20"/>
      <c r="AJ90" s="20"/>
      <c r="AO90" s="20"/>
      <c r="AP90" s="20"/>
      <c r="AU90" s="20"/>
      <c r="AV90" s="20"/>
      <c r="AZ90" s="1"/>
      <c r="BA90" s="20"/>
      <c r="BE90" s="20"/>
      <c r="BF90" s="20"/>
    </row>
    <row r="91" spans="2:58">
      <c r="B91" s="59">
        <v>324</v>
      </c>
      <c r="C91" s="36">
        <v>3.7756831801586865</v>
      </c>
      <c r="V91" s="61">
        <f t="shared" si="1"/>
        <v>324</v>
      </c>
      <c r="W91" s="61">
        <f t="shared" si="2"/>
        <v>3.7756831801586865</v>
      </c>
      <c r="X91" s="33">
        <f>VLOOKUP(V91,'Hazard Weighting Functions'!$B$5:$G$1205,2,FALSE)</f>
        <v>5.1999999999999995E-4</v>
      </c>
      <c r="Y91" s="33">
        <f t="shared" si="3"/>
        <v>1.9633552536825168E-3</v>
      </c>
      <c r="Z91" s="61">
        <f t="shared" si="4"/>
        <v>3.874139948550299E-3</v>
      </c>
      <c r="AA91" s="33">
        <f>VLOOKUP(V91,'Hazard Weighting Functions'!$B$5:$G$1205,5,FALSE)</f>
        <v>0</v>
      </c>
      <c r="AB91" s="33">
        <f>AA91*W91</f>
        <v>0</v>
      </c>
      <c r="AC91" s="33">
        <f>0.5*(V92-V91)*(AB91+AB92)</f>
        <v>0</v>
      </c>
      <c r="AE91" s="20"/>
      <c r="AF91" s="20"/>
      <c r="AJ91" s="20"/>
      <c r="AO91" s="20"/>
      <c r="AP91" s="20"/>
      <c r="AU91" s="20"/>
      <c r="AV91" s="20"/>
      <c r="AZ91" s="1"/>
      <c r="BA91" s="20"/>
      <c r="BE91" s="20"/>
      <c r="BF91" s="20"/>
    </row>
    <row r="92" spans="2:58">
      <c r="B92" s="59">
        <v>326</v>
      </c>
      <c r="C92" s="36">
        <v>3.9891120978450569</v>
      </c>
      <c r="V92" s="61">
        <f t="shared" si="1"/>
        <v>326</v>
      </c>
      <c r="W92" s="61">
        <f t="shared" si="2"/>
        <v>3.9891120978450569</v>
      </c>
      <c r="X92" s="33">
        <f>VLOOKUP(V92,'Hazard Weighting Functions'!$B$5:$G$1205,2,FALSE)</f>
        <v>4.7899999999999999E-4</v>
      </c>
      <c r="Y92" s="33">
        <f t="shared" si="3"/>
        <v>1.9107846948677822E-3</v>
      </c>
      <c r="Z92" s="61">
        <f t="shared" si="4"/>
        <v>3.7614087198734915E-3</v>
      </c>
      <c r="AA92" s="33">
        <f>VLOOKUP(V92,'Hazard Weighting Functions'!$B$5:$G$1205,5,FALSE)</f>
        <v>0</v>
      </c>
      <c r="AB92" s="33">
        <f>AA92*W92</f>
        <v>0</v>
      </c>
      <c r="AC92" s="33">
        <f>0.5*(V93-V92)*(AB92+AB93)</f>
        <v>0</v>
      </c>
      <c r="AE92" s="20"/>
      <c r="AF92" s="20"/>
      <c r="AJ92" s="20"/>
      <c r="AO92" s="20"/>
      <c r="AP92" s="20"/>
      <c r="AU92" s="20"/>
      <c r="AV92" s="20"/>
      <c r="AZ92" s="1"/>
      <c r="BA92" s="20"/>
      <c r="BE92" s="20"/>
      <c r="BF92" s="20"/>
    </row>
    <row r="93" spans="2:58">
      <c r="B93" s="59">
        <v>328</v>
      </c>
      <c r="C93" s="36">
        <v>4.2059636931947937</v>
      </c>
      <c r="V93" s="61">
        <f t="shared" si="1"/>
        <v>328</v>
      </c>
      <c r="W93" s="61">
        <f t="shared" si="2"/>
        <v>4.2059636931947937</v>
      </c>
      <c r="X93" s="33">
        <f>VLOOKUP(V93,'Hazard Weighting Functions'!$B$5:$G$1205,2,FALSE)</f>
        <v>4.4000000000000002E-4</v>
      </c>
      <c r="Y93" s="33">
        <f t="shared" si="3"/>
        <v>1.8506240250057092E-3</v>
      </c>
      <c r="Z93" s="61">
        <f t="shared" si="4"/>
        <v>3.6666206250057093E-3</v>
      </c>
      <c r="AA93" s="33">
        <f>VLOOKUP(V93,'Hazard Weighting Functions'!$B$5:$G$1205,5,FALSE)</f>
        <v>0</v>
      </c>
      <c r="AB93" s="33">
        <f>AA93*W93</f>
        <v>0</v>
      </c>
      <c r="AC93" s="33">
        <f>0.5*(V94-V93)*(AB93+AB94)</f>
        <v>0</v>
      </c>
      <c r="AE93" s="20"/>
      <c r="AF93" s="20"/>
      <c r="AJ93" s="20"/>
      <c r="AO93" s="20"/>
      <c r="AP93" s="20"/>
      <c r="AU93" s="20"/>
      <c r="AV93" s="20"/>
      <c r="AZ93" s="1"/>
      <c r="BA93" s="20"/>
      <c r="BE93" s="20"/>
      <c r="BF93" s="20"/>
    </row>
    <row r="94" spans="2:58">
      <c r="B94" s="59">
        <v>330</v>
      </c>
      <c r="C94" s="36">
        <v>4.4292600000000002</v>
      </c>
      <c r="V94" s="61">
        <f t="shared" ref="V94:V157" si="5">B94</f>
        <v>330</v>
      </c>
      <c r="W94" s="61">
        <f t="shared" ref="W94:W157" si="6">C94</f>
        <v>4.4292600000000002</v>
      </c>
      <c r="X94" s="33">
        <f>VLOOKUP(V94,'Hazard Weighting Functions'!$B$5:$G$1205,2,FALSE)</f>
        <v>4.0999999999999999E-4</v>
      </c>
      <c r="Y94" s="33">
        <f t="shared" ref="Y94:Y157" si="7">W94*X94</f>
        <v>1.8159966E-3</v>
      </c>
      <c r="Z94" s="61">
        <f t="shared" ref="Z94:Z128" si="8">0.5*(V95-V94)*(Y94+Y95)</f>
        <v>3.6016983363229716E-3</v>
      </c>
      <c r="AA94" s="33">
        <f>VLOOKUP(V94,'Hazard Weighting Functions'!$B$5:$G$1205,5,FALSE)</f>
        <v>0</v>
      </c>
      <c r="AB94" s="33">
        <f>AA94*W94</f>
        <v>0</v>
      </c>
      <c r="AC94" s="33">
        <f>0.5*(V95-V94)*(AB94+AB95)</f>
        <v>0</v>
      </c>
      <c r="AE94" s="20"/>
      <c r="AF94" s="20"/>
      <c r="AJ94" s="20"/>
      <c r="AO94" s="20"/>
      <c r="AP94" s="20"/>
      <c r="AU94" s="20"/>
      <c r="AV94" s="20"/>
      <c r="AZ94" s="1"/>
      <c r="BA94" s="20"/>
      <c r="BE94" s="20"/>
      <c r="BF94" s="20"/>
    </row>
    <row r="95" spans="2:58">
      <c r="B95" s="59">
        <v>332</v>
      </c>
      <c r="C95" s="36">
        <v>4.6624066222531892</v>
      </c>
      <c r="V95" s="61">
        <f t="shared" si="5"/>
        <v>332</v>
      </c>
      <c r="W95" s="61">
        <f t="shared" si="6"/>
        <v>4.6624066222531892</v>
      </c>
      <c r="X95" s="33">
        <f>VLOOKUP(V95,'Hazard Weighting Functions'!$B$5:$G$1205,2,FALSE)</f>
        <v>3.8299999999999999E-4</v>
      </c>
      <c r="Y95" s="33">
        <f t="shared" si="7"/>
        <v>1.7857017363229713E-3</v>
      </c>
      <c r="Z95" s="61">
        <f t="shared" si="8"/>
        <v>3.5286978909000212E-3</v>
      </c>
      <c r="AA95" s="33">
        <f>VLOOKUP(V95,'Hazard Weighting Functions'!$B$5:$G$1205,5,FALSE)</f>
        <v>0</v>
      </c>
      <c r="AB95" s="33">
        <f>AA95*W95</f>
        <v>0</v>
      </c>
      <c r="AC95" s="33">
        <f>0.5*(V96-V95)*(AB95+AB96)</f>
        <v>0</v>
      </c>
      <c r="AE95" s="20"/>
      <c r="AF95" s="20"/>
      <c r="AJ95" s="20"/>
      <c r="AO95" s="20"/>
      <c r="AP95" s="20"/>
      <c r="AU95" s="20"/>
      <c r="AV95" s="20"/>
      <c r="AZ95" s="1"/>
      <c r="BA95" s="20"/>
      <c r="BE95" s="20"/>
      <c r="BF95" s="20"/>
    </row>
    <row r="96" spans="2:58">
      <c r="B96" s="59">
        <v>334</v>
      </c>
      <c r="C96" s="36">
        <v>4.9098483227522536</v>
      </c>
      <c r="V96" s="61">
        <f t="shared" si="5"/>
        <v>334</v>
      </c>
      <c r="W96" s="61">
        <f t="shared" si="6"/>
        <v>4.9098483227522536</v>
      </c>
      <c r="X96" s="33">
        <f>VLOOKUP(V96,'Hazard Weighting Functions'!$B$5:$G$1205,2,FALSE)</f>
        <v>3.5500000000000001E-4</v>
      </c>
      <c r="Y96" s="33">
        <f t="shared" si="7"/>
        <v>1.7429961545770501E-3</v>
      </c>
      <c r="Z96" s="61">
        <f t="shared" si="8"/>
        <v>3.4355322946345189E-3</v>
      </c>
      <c r="AA96" s="33">
        <f>VLOOKUP(V96,'Hazard Weighting Functions'!$B$5:$G$1205,5,FALSE)</f>
        <v>0</v>
      </c>
      <c r="AB96" s="33">
        <f>AA96*W96</f>
        <v>0</v>
      </c>
      <c r="AC96" s="33">
        <f>0.5*(V97-V96)*(AB96+AB97)</f>
        <v>0</v>
      </c>
      <c r="AE96" s="20"/>
      <c r="AF96" s="20"/>
      <c r="AJ96" s="20"/>
      <c r="AO96" s="20"/>
      <c r="AP96" s="20"/>
      <c r="AU96" s="20"/>
      <c r="AV96" s="20"/>
      <c r="AZ96" s="1"/>
      <c r="BA96" s="20"/>
      <c r="BE96" s="20"/>
      <c r="BF96" s="20"/>
    </row>
    <row r="97" spans="2:58">
      <c r="B97" s="59">
        <v>336</v>
      </c>
      <c r="C97" s="36">
        <v>5.1759514986466941</v>
      </c>
      <c r="V97" s="61">
        <f t="shared" si="5"/>
        <v>336</v>
      </c>
      <c r="W97" s="61">
        <f t="shared" si="6"/>
        <v>5.1759514986466941</v>
      </c>
      <c r="X97" s="33">
        <f>VLOOKUP(V97,'Hazard Weighting Functions'!$B$5:$G$1205,2,FALSE)</f>
        <v>3.2699999999999998E-4</v>
      </c>
      <c r="Y97" s="33">
        <f t="shared" si="7"/>
        <v>1.6925361400574688E-3</v>
      </c>
      <c r="Z97" s="61">
        <f t="shared" si="8"/>
        <v>3.346099547192216E-3</v>
      </c>
      <c r="AA97" s="33">
        <f>VLOOKUP(V97,'Hazard Weighting Functions'!$B$5:$G$1205,5,FALSE)</f>
        <v>0</v>
      </c>
      <c r="AB97" s="33">
        <f>AA97*W97</f>
        <v>0</v>
      </c>
      <c r="AC97" s="33">
        <f>0.5*(V98-V97)*(AB97+AB98)</f>
        <v>0</v>
      </c>
      <c r="AE97" s="20"/>
      <c r="AF97" s="20"/>
      <c r="AJ97" s="20"/>
      <c r="AO97" s="20"/>
      <c r="AP97" s="20"/>
      <c r="AU97" s="20"/>
      <c r="AV97" s="20"/>
      <c r="AZ97" s="1"/>
      <c r="BA97" s="20"/>
      <c r="BE97" s="20"/>
      <c r="BF97" s="20"/>
    </row>
    <row r="98" spans="2:58">
      <c r="B98" s="59">
        <v>338</v>
      </c>
      <c r="C98" s="36">
        <v>5.4573049740420698</v>
      </c>
      <c r="V98" s="61">
        <f t="shared" si="5"/>
        <v>338</v>
      </c>
      <c r="W98" s="61">
        <f t="shared" si="6"/>
        <v>5.4573049740420698</v>
      </c>
      <c r="X98" s="33">
        <f>VLOOKUP(V98,'Hazard Weighting Functions'!$B$5:$G$1205,2,FALSE)</f>
        <v>3.0299999999999999E-4</v>
      </c>
      <c r="Y98" s="33">
        <f t="shared" si="7"/>
        <v>1.6535634071347472E-3</v>
      </c>
      <c r="Z98" s="61">
        <f t="shared" si="8"/>
        <v>3.2615250071347471E-3</v>
      </c>
      <c r="AA98" s="33">
        <f>VLOOKUP(V98,'Hazard Weighting Functions'!$B$5:$G$1205,5,FALSE)</f>
        <v>0</v>
      </c>
      <c r="AB98" s="33">
        <f>AA98*W98</f>
        <v>0</v>
      </c>
      <c r="AC98" s="33">
        <f>0.5*(V99-V98)*(AB98+AB99)</f>
        <v>0</v>
      </c>
      <c r="AE98" s="20"/>
      <c r="AF98" s="20"/>
      <c r="AJ98" s="20"/>
      <c r="AO98" s="20"/>
      <c r="AP98" s="20"/>
      <c r="AU98" s="20"/>
      <c r="AV98" s="20"/>
      <c r="AZ98" s="1"/>
      <c r="BA98" s="20"/>
      <c r="BE98" s="20"/>
      <c r="BF98" s="20"/>
    </row>
    <row r="99" spans="2:58">
      <c r="B99" s="59">
        <v>340</v>
      </c>
      <c r="C99" s="36">
        <v>5.7427200000000003</v>
      </c>
      <c r="V99" s="61">
        <f t="shared" si="5"/>
        <v>340</v>
      </c>
      <c r="W99" s="61">
        <f t="shared" si="6"/>
        <v>5.7427200000000003</v>
      </c>
      <c r="X99" s="33">
        <f>VLOOKUP(V99,'Hazard Weighting Functions'!$B$5:$G$1205,2,FALSE)</f>
        <v>2.7999999999999998E-4</v>
      </c>
      <c r="Y99" s="33">
        <f t="shared" si="7"/>
        <v>1.6079616E-3</v>
      </c>
      <c r="Z99" s="61">
        <f t="shared" si="8"/>
        <v>3.1925461452490421E-3</v>
      </c>
      <c r="AA99" s="33">
        <f>VLOOKUP(V99,'Hazard Weighting Functions'!$B$5:$G$1205,5,FALSE)</f>
        <v>0</v>
      </c>
      <c r="AB99" s="33">
        <f>AA99*W99</f>
        <v>0</v>
      </c>
      <c r="AC99" s="33">
        <f>0.5*(V100-V99)*(AB99+AB100)</f>
        <v>0</v>
      </c>
      <c r="AE99" s="20"/>
      <c r="AF99" s="20"/>
      <c r="AJ99" s="20"/>
      <c r="AO99" s="20"/>
      <c r="AP99" s="20"/>
      <c r="AU99" s="20"/>
      <c r="AV99" s="20"/>
      <c r="AZ99" s="1"/>
      <c r="BA99" s="20"/>
      <c r="BE99" s="20"/>
      <c r="BF99" s="20"/>
    </row>
    <row r="100" spans="2:58">
      <c r="B100" s="59">
        <v>342</v>
      </c>
      <c r="C100" s="36">
        <v>6.0250362937225939</v>
      </c>
      <c r="V100" s="61">
        <f t="shared" si="5"/>
        <v>342</v>
      </c>
      <c r="W100" s="61">
        <f t="shared" si="6"/>
        <v>6.0250362937225939</v>
      </c>
      <c r="X100" s="33">
        <f>VLOOKUP(V100,'Hazard Weighting Functions'!$B$5:$G$1205,2,FALSE)</f>
        <v>2.63E-4</v>
      </c>
      <c r="Y100" s="33">
        <f t="shared" si="7"/>
        <v>1.5845845452490421E-3</v>
      </c>
      <c r="Z100" s="61">
        <f t="shared" si="8"/>
        <v>3.1505954397255112E-3</v>
      </c>
      <c r="AA100" s="33">
        <f>VLOOKUP(V100,'Hazard Weighting Functions'!$B$5:$G$1205,5,FALSE)</f>
        <v>0</v>
      </c>
      <c r="AB100" s="33">
        <f>AA100*W100</f>
        <v>0</v>
      </c>
      <c r="AC100" s="33">
        <f>0.5*(V101-V100)*(AB100+AB101)</f>
        <v>0</v>
      </c>
      <c r="AE100" s="20"/>
      <c r="AF100" s="20"/>
      <c r="AJ100" s="20"/>
      <c r="AO100" s="20"/>
      <c r="AP100" s="20"/>
      <c r="AU100" s="20"/>
      <c r="AV100" s="20"/>
      <c r="AZ100" s="1"/>
      <c r="BA100" s="20"/>
      <c r="BE100" s="20"/>
      <c r="BF100" s="20"/>
    </row>
    <row r="101" spans="2:58">
      <c r="B101" s="59">
        <v>344</v>
      </c>
      <c r="C101" s="36">
        <v>6.3145600583728578</v>
      </c>
      <c r="V101" s="61">
        <f t="shared" si="5"/>
        <v>344</v>
      </c>
      <c r="W101" s="61">
        <f t="shared" si="6"/>
        <v>6.3145600583728578</v>
      </c>
      <c r="X101" s="33">
        <f>VLOOKUP(V101,'Hazard Weighting Functions'!$B$5:$G$1205,2,FALSE)</f>
        <v>2.4800000000000001E-4</v>
      </c>
      <c r="Y101" s="33">
        <f t="shared" si="7"/>
        <v>1.5660108944764689E-3</v>
      </c>
      <c r="Z101" s="61">
        <f t="shared" si="8"/>
        <v>3.0964524416976667E-3</v>
      </c>
      <c r="AA101" s="33">
        <f>VLOOKUP(V101,'Hazard Weighting Functions'!$B$5:$G$1205,5,FALSE)</f>
        <v>0</v>
      </c>
      <c r="AB101" s="33">
        <f>AA101*W101</f>
        <v>0</v>
      </c>
      <c r="AC101" s="33">
        <f>0.5*(V102-V101)*(AB101+AB102)</f>
        <v>0</v>
      </c>
      <c r="AE101" s="20"/>
      <c r="AF101" s="20"/>
      <c r="AJ101" s="20"/>
      <c r="AO101" s="20"/>
      <c r="AP101" s="20"/>
      <c r="AU101" s="20"/>
      <c r="AV101" s="20"/>
      <c r="AZ101" s="1"/>
      <c r="BA101" s="20"/>
      <c r="BE101" s="20"/>
      <c r="BF101" s="20"/>
    </row>
    <row r="102" spans="2:58">
      <c r="B102" s="59">
        <v>346</v>
      </c>
      <c r="C102" s="36">
        <v>6.6252880832086474</v>
      </c>
      <c r="V102" s="61">
        <f t="shared" si="5"/>
        <v>346</v>
      </c>
      <c r="W102" s="61">
        <f t="shared" si="6"/>
        <v>6.6252880832086474</v>
      </c>
      <c r="X102" s="33">
        <f>VLOOKUP(V102,'Hazard Weighting Functions'!$B$5:$G$1205,2,FALSE)</f>
        <v>2.31E-4</v>
      </c>
      <c r="Y102" s="33">
        <f t="shared" si="7"/>
        <v>1.5304415472211976E-3</v>
      </c>
      <c r="Z102" s="61">
        <f t="shared" si="8"/>
        <v>3.025910241050945E-3</v>
      </c>
      <c r="AA102" s="33">
        <f>VLOOKUP(V102,'Hazard Weighting Functions'!$B$5:$G$1205,5,FALSE)</f>
        <v>0</v>
      </c>
      <c r="AB102" s="33">
        <f>AA102*W102</f>
        <v>0</v>
      </c>
      <c r="AC102" s="33">
        <f>0.5*(V103-V102)*(AB102+AB103)</f>
        <v>0</v>
      </c>
      <c r="AE102" s="20"/>
      <c r="AF102" s="20"/>
      <c r="AJ102" s="20"/>
      <c r="AO102" s="20"/>
      <c r="AP102" s="20"/>
      <c r="AU102" s="20"/>
      <c r="AV102" s="20"/>
      <c r="AZ102" s="1"/>
      <c r="BA102" s="20"/>
      <c r="BE102" s="20"/>
      <c r="BF102" s="20"/>
    </row>
    <row r="103" spans="2:58">
      <c r="B103" s="59">
        <v>348</v>
      </c>
      <c r="C103" s="36">
        <v>6.9556683433941737</v>
      </c>
      <c r="V103" s="61">
        <f t="shared" si="5"/>
        <v>348</v>
      </c>
      <c r="W103" s="61">
        <f t="shared" si="6"/>
        <v>6.9556683433941737</v>
      </c>
      <c r="X103" s="33">
        <f>VLOOKUP(V103,'Hazard Weighting Functions'!$B$5:$G$1205,2,FALSE)</f>
        <v>2.1499999999999999E-4</v>
      </c>
      <c r="Y103" s="33">
        <f t="shared" si="7"/>
        <v>1.4954686938297474E-3</v>
      </c>
      <c r="Z103" s="61">
        <f t="shared" si="8"/>
        <v>2.9531886938297474E-3</v>
      </c>
      <c r="AA103" s="33">
        <f>VLOOKUP(V103,'Hazard Weighting Functions'!$B$5:$G$1205,5,FALSE)</f>
        <v>0</v>
      </c>
      <c r="AB103" s="33">
        <f>AA103*W103</f>
        <v>0</v>
      </c>
      <c r="AC103" s="33">
        <f>0.5*(V104-V103)*(AB103+AB104)</f>
        <v>0</v>
      </c>
      <c r="AE103" s="20"/>
      <c r="AF103" s="20"/>
      <c r="AJ103" s="20"/>
      <c r="AO103" s="20"/>
      <c r="AP103" s="20"/>
      <c r="AU103" s="20"/>
      <c r="AV103" s="20"/>
      <c r="AZ103" s="1"/>
      <c r="BA103" s="20"/>
      <c r="BE103" s="20"/>
      <c r="BF103" s="20"/>
    </row>
    <row r="104" spans="2:58">
      <c r="B104" s="59">
        <v>350</v>
      </c>
      <c r="C104" s="36">
        <v>7.2885999999999997</v>
      </c>
      <c r="V104" s="61">
        <f t="shared" si="5"/>
        <v>350</v>
      </c>
      <c r="W104" s="61">
        <f t="shared" si="6"/>
        <v>7.2885999999999997</v>
      </c>
      <c r="X104" s="33">
        <f>VLOOKUP(V104,'Hazard Weighting Functions'!$B$5:$G$1205,2,FALSE)</f>
        <v>2.0000000000000001E-4</v>
      </c>
      <c r="Y104" s="33">
        <f t="shared" si="7"/>
        <v>1.45772E-3</v>
      </c>
      <c r="Z104" s="61">
        <f t="shared" si="8"/>
        <v>2.8508571680049507E-3</v>
      </c>
      <c r="AA104" s="33">
        <f>VLOOKUP(V104,'Hazard Weighting Functions'!$B$5:$G$1205,5,FALSE)</f>
        <v>0</v>
      </c>
      <c r="AB104" s="33">
        <f>AA104*W104</f>
        <v>0</v>
      </c>
      <c r="AC104" s="33">
        <f>0.5*(V105-V104)*(AB104+AB105)</f>
        <v>0</v>
      </c>
      <c r="AE104" s="20"/>
      <c r="AF104" s="20"/>
      <c r="AJ104" s="20"/>
      <c r="AO104" s="20"/>
      <c r="AP104" s="20"/>
      <c r="AU104" s="20"/>
      <c r="AV104" s="20"/>
      <c r="AZ104" s="1"/>
      <c r="BA104" s="20"/>
      <c r="BE104" s="20"/>
      <c r="BF104" s="20"/>
    </row>
    <row r="105" spans="2:58">
      <c r="B105" s="59">
        <v>352</v>
      </c>
      <c r="C105" s="36">
        <v>7.612771409863119</v>
      </c>
      <c r="V105" s="61">
        <f t="shared" si="5"/>
        <v>352</v>
      </c>
      <c r="W105" s="61">
        <f t="shared" si="6"/>
        <v>7.612771409863119</v>
      </c>
      <c r="X105" s="33">
        <f>VLOOKUP(V105,'Hazard Weighting Functions'!$B$5:$G$1205,2,FALSE)</f>
        <v>1.83E-4</v>
      </c>
      <c r="Y105" s="33">
        <f t="shared" si="7"/>
        <v>1.3931371680049507E-3</v>
      </c>
      <c r="Z105" s="61">
        <f t="shared" si="8"/>
        <v>2.7195733877010634E-3</v>
      </c>
      <c r="AA105" s="33">
        <f>VLOOKUP(V105,'Hazard Weighting Functions'!$B$5:$G$1205,5,FALSE)</f>
        <v>0</v>
      </c>
      <c r="AB105" s="33">
        <f>AA105*W105</f>
        <v>0</v>
      </c>
      <c r="AC105" s="33">
        <f>0.5*(V106-V105)*(AB105+AB106)</f>
        <v>0</v>
      </c>
      <c r="AE105" s="20"/>
      <c r="AF105" s="20"/>
      <c r="AJ105" s="20"/>
      <c r="AO105" s="20"/>
      <c r="AP105" s="20"/>
      <c r="AU105" s="20"/>
      <c r="AV105" s="20"/>
      <c r="AZ105" s="1"/>
      <c r="BA105" s="20"/>
      <c r="BE105" s="20"/>
      <c r="BF105" s="20"/>
    </row>
    <row r="106" spans="2:58">
      <c r="B106" s="59">
        <v>354</v>
      </c>
      <c r="C106" s="36">
        <v>7.942731854467743</v>
      </c>
      <c r="V106" s="61">
        <f t="shared" si="5"/>
        <v>354</v>
      </c>
      <c r="W106" s="61">
        <f t="shared" si="6"/>
        <v>7.942731854467743</v>
      </c>
      <c r="X106" s="33">
        <f>VLOOKUP(V106,'Hazard Weighting Functions'!$B$5:$G$1205,2,FALSE)</f>
        <v>1.6699999999999999E-4</v>
      </c>
      <c r="Y106" s="33">
        <f t="shared" si="7"/>
        <v>1.3264362196961129E-3</v>
      </c>
      <c r="Z106" s="61">
        <f t="shared" si="8"/>
        <v>2.5961311608760909E-3</v>
      </c>
      <c r="AA106" s="33">
        <f>VLOOKUP(V106,'Hazard Weighting Functions'!$B$5:$G$1205,5,FALSE)</f>
        <v>0</v>
      </c>
      <c r="AB106" s="33">
        <f>AA106*W106</f>
        <v>0</v>
      </c>
      <c r="AC106" s="33">
        <f>0.5*(V107-V106)*(AB106+AB107)</f>
        <v>0</v>
      </c>
      <c r="AE106" s="20"/>
      <c r="AF106" s="20"/>
      <c r="AJ106" s="20"/>
      <c r="AO106" s="20"/>
      <c r="AP106" s="20"/>
      <c r="AU106" s="20"/>
      <c r="AV106" s="20"/>
      <c r="AZ106" s="1"/>
      <c r="BA106" s="20"/>
      <c r="BE106" s="20"/>
      <c r="BF106" s="20"/>
    </row>
    <row r="107" spans="2:58">
      <c r="B107" s="59">
        <v>356</v>
      </c>
      <c r="C107" s="36">
        <v>8.2986597462743656</v>
      </c>
      <c r="V107" s="61">
        <f t="shared" si="5"/>
        <v>356</v>
      </c>
      <c r="W107" s="61">
        <f t="shared" si="6"/>
        <v>8.2986597462743656</v>
      </c>
      <c r="X107" s="33">
        <f>VLOOKUP(V107,'Hazard Weighting Functions'!$B$5:$G$1205,2,FALSE)</f>
        <v>1.5300000000000001E-4</v>
      </c>
      <c r="Y107" s="33">
        <f t="shared" si="7"/>
        <v>1.269694941179978E-3</v>
      </c>
      <c r="Z107" s="61">
        <f t="shared" si="8"/>
        <v>2.4937868914601449E-3</v>
      </c>
      <c r="AA107" s="33">
        <f>VLOOKUP(V107,'Hazard Weighting Functions'!$B$5:$G$1205,5,FALSE)</f>
        <v>0</v>
      </c>
      <c r="AB107" s="33">
        <f>AA107*W107</f>
        <v>0</v>
      </c>
      <c r="AC107" s="33">
        <f>0.5*(V108-V107)*(AB107+AB108)</f>
        <v>0</v>
      </c>
      <c r="AE107" s="20"/>
      <c r="AF107" s="20"/>
      <c r="AJ107" s="20"/>
      <c r="AO107" s="20"/>
      <c r="AP107" s="20"/>
      <c r="AU107" s="20"/>
      <c r="AV107" s="20"/>
      <c r="AZ107" s="1"/>
      <c r="BA107" s="20"/>
      <c r="BE107" s="20"/>
      <c r="BF107" s="20"/>
    </row>
    <row r="108" spans="2:58">
      <c r="B108" s="59">
        <v>358</v>
      </c>
      <c r="C108" s="36">
        <v>8.6815031934763613</v>
      </c>
      <c r="V108" s="61">
        <f t="shared" si="5"/>
        <v>358</v>
      </c>
      <c r="W108" s="61">
        <f t="shared" si="6"/>
        <v>8.6815031934763613</v>
      </c>
      <c r="X108" s="33">
        <f>VLOOKUP(V108,'Hazard Weighting Functions'!$B$5:$G$1205,2,FALSE)</f>
        <v>1.4100000000000001E-4</v>
      </c>
      <c r="Y108" s="33">
        <f t="shared" si="7"/>
        <v>1.2240919502801671E-3</v>
      </c>
      <c r="Z108" s="61">
        <f t="shared" si="8"/>
        <v>2.4035793502801672E-3</v>
      </c>
      <c r="AA108" s="33">
        <f>VLOOKUP(V108,'Hazard Weighting Functions'!$B$5:$G$1205,5,FALSE)</f>
        <v>0</v>
      </c>
      <c r="AB108" s="33">
        <f>AA108*W108</f>
        <v>0</v>
      </c>
      <c r="AC108" s="33">
        <f>0.5*(V109-V108)*(AB108+AB109)</f>
        <v>0</v>
      </c>
      <c r="AE108" s="20"/>
      <c r="AF108" s="20"/>
      <c r="AJ108" s="20"/>
      <c r="AO108" s="20"/>
      <c r="AP108" s="20"/>
      <c r="AU108" s="20"/>
      <c r="AV108" s="20"/>
      <c r="AZ108" s="1"/>
      <c r="BA108" s="20"/>
      <c r="BE108" s="20"/>
      <c r="BF108" s="20"/>
    </row>
    <row r="109" spans="2:58">
      <c r="B109" s="59">
        <v>360</v>
      </c>
      <c r="C109" s="36">
        <v>9.0729799999999994</v>
      </c>
      <c r="V109" s="61">
        <f t="shared" si="5"/>
        <v>360</v>
      </c>
      <c r="W109" s="61">
        <f t="shared" si="6"/>
        <v>9.0729799999999994</v>
      </c>
      <c r="X109" s="33">
        <f>VLOOKUP(V109,'Hazard Weighting Functions'!$B$5:$G$1205,2,FALSE)</f>
        <v>1.2999999999999999E-4</v>
      </c>
      <c r="Y109" s="33">
        <f t="shared" si="7"/>
        <v>1.1794873999999998E-3</v>
      </c>
      <c r="Z109" s="61">
        <f t="shared" si="8"/>
        <v>2.3335194141320499E-3</v>
      </c>
      <c r="AA109" s="33">
        <f>VLOOKUP(V109,'Hazard Weighting Functions'!$B$5:$G$1205,5,FALSE)</f>
        <v>0</v>
      </c>
      <c r="AB109" s="33">
        <f>AA109*W109</f>
        <v>0</v>
      </c>
      <c r="AC109" s="33">
        <f>0.5*(V110-V109)*(AB109+AB110)</f>
        <v>0</v>
      </c>
      <c r="AE109" s="20"/>
      <c r="AF109" s="20"/>
      <c r="AJ109" s="20"/>
      <c r="AO109" s="20"/>
      <c r="AP109" s="20"/>
      <c r="AU109" s="20"/>
      <c r="AV109" s="20"/>
      <c r="AZ109" s="1"/>
      <c r="BA109" s="20"/>
      <c r="BE109" s="20"/>
      <c r="BF109" s="20"/>
    </row>
    <row r="110" spans="2:58">
      <c r="B110" s="59">
        <v>362</v>
      </c>
      <c r="C110" s="36">
        <v>9.4592788043610661</v>
      </c>
      <c r="V110" s="61">
        <f t="shared" si="5"/>
        <v>362</v>
      </c>
      <c r="W110" s="61">
        <f t="shared" si="6"/>
        <v>9.4592788043610661</v>
      </c>
      <c r="X110" s="33">
        <f>VLOOKUP(V110,'Hazard Weighting Functions'!$B$5:$G$1205,2,FALSE)</f>
        <v>1.22E-4</v>
      </c>
      <c r="Y110" s="33">
        <f t="shared" si="7"/>
        <v>1.1540320141320501E-3</v>
      </c>
      <c r="Z110" s="61">
        <f t="shared" si="8"/>
        <v>2.2766830363280619E-3</v>
      </c>
      <c r="AA110" s="33">
        <f>VLOOKUP(V110,'Hazard Weighting Functions'!$B$5:$G$1205,5,FALSE)</f>
        <v>0</v>
      </c>
      <c r="AB110" s="33">
        <f>AA110*W110</f>
        <v>0</v>
      </c>
      <c r="AC110" s="33">
        <f>0.5*(V111-V110)*(AB110+AB111)</f>
        <v>0</v>
      </c>
      <c r="AE110" s="20"/>
      <c r="AF110" s="20"/>
      <c r="AJ110" s="20"/>
      <c r="AO110" s="20"/>
      <c r="AP110" s="20"/>
      <c r="AU110" s="20"/>
      <c r="AV110" s="20"/>
      <c r="AZ110" s="1"/>
      <c r="BA110" s="20"/>
      <c r="BE110" s="20"/>
      <c r="BF110" s="20"/>
    </row>
    <row r="111" spans="2:58">
      <c r="B111" s="59">
        <v>364</v>
      </c>
      <c r="C111" s="36">
        <v>9.8478159841755399</v>
      </c>
      <c r="V111" s="61">
        <f t="shared" si="5"/>
        <v>364</v>
      </c>
      <c r="W111" s="61">
        <f t="shared" si="6"/>
        <v>9.8478159841755399</v>
      </c>
      <c r="X111" s="33">
        <f>VLOOKUP(V111,'Hazard Weighting Functions'!$B$5:$G$1205,2,FALSE)</f>
        <v>1.1400000000000001E-4</v>
      </c>
      <c r="Y111" s="33">
        <f t="shared" si="7"/>
        <v>1.1226510221960116E-3</v>
      </c>
      <c r="Z111" s="61">
        <f t="shared" si="8"/>
        <v>2.209248852207051E-3</v>
      </c>
      <c r="AA111" s="33">
        <f>VLOOKUP(V111,'Hazard Weighting Functions'!$B$5:$G$1205,5,FALSE)</f>
        <v>0</v>
      </c>
      <c r="AB111" s="33">
        <f>AA111*W111</f>
        <v>0</v>
      </c>
      <c r="AC111" s="33">
        <f>0.5*(V112-V111)*(AB111+AB112)</f>
        <v>0</v>
      </c>
      <c r="AE111" s="20"/>
      <c r="AF111" s="20"/>
      <c r="AJ111" s="20"/>
      <c r="AO111" s="20"/>
      <c r="AP111" s="20"/>
      <c r="AU111" s="20"/>
      <c r="AV111" s="20"/>
      <c r="AZ111" s="1"/>
      <c r="BA111" s="20"/>
      <c r="BE111" s="20"/>
      <c r="BF111" s="20"/>
    </row>
    <row r="112" spans="2:58">
      <c r="B112" s="59">
        <v>366</v>
      </c>
      <c r="C112" s="36">
        <v>10.25092292463245</v>
      </c>
      <c r="V112" s="61">
        <f t="shared" si="5"/>
        <v>366</v>
      </c>
      <c r="W112" s="61">
        <f t="shared" si="6"/>
        <v>10.25092292463245</v>
      </c>
      <c r="X112" s="33">
        <f>VLOOKUP(V112,'Hazard Weighting Functions'!$B$5:$G$1205,2,FALSE)</f>
        <v>1.06E-4</v>
      </c>
      <c r="Y112" s="33">
        <f t="shared" si="7"/>
        <v>1.0865978300110396E-3</v>
      </c>
      <c r="Z112" s="61">
        <f t="shared" si="8"/>
        <v>2.1431175818532535E-3</v>
      </c>
      <c r="AA112" s="33">
        <f>VLOOKUP(V112,'Hazard Weighting Functions'!$B$5:$G$1205,5,FALSE)</f>
        <v>0</v>
      </c>
      <c r="AB112" s="33">
        <f>AA112*W112</f>
        <v>0</v>
      </c>
      <c r="AC112" s="33">
        <f>0.5*(V113-V112)*(AB112+AB113)</f>
        <v>0</v>
      </c>
      <c r="AE112" s="20"/>
      <c r="AF112" s="20"/>
      <c r="AJ112" s="20"/>
      <c r="AO112" s="20"/>
      <c r="AP112" s="20"/>
      <c r="AU112" s="20"/>
      <c r="AV112" s="20"/>
      <c r="AZ112" s="1"/>
      <c r="BA112" s="20"/>
      <c r="BE112" s="20"/>
      <c r="BF112" s="20"/>
    </row>
    <row r="113" spans="2:58">
      <c r="B113" s="59">
        <v>368</v>
      </c>
      <c r="C113" s="36">
        <v>10.671916685274887</v>
      </c>
      <c r="V113" s="61">
        <f t="shared" si="5"/>
        <v>368</v>
      </c>
      <c r="W113" s="61">
        <f t="shared" si="6"/>
        <v>10.671916685274887</v>
      </c>
      <c r="X113" s="33">
        <f>VLOOKUP(V113,'Hazard Weighting Functions'!$B$5:$G$1205,2,FALSE)</f>
        <v>9.8999999999999994E-5</v>
      </c>
      <c r="Y113" s="33">
        <f t="shared" si="7"/>
        <v>1.0565197518422138E-3</v>
      </c>
      <c r="Z113" s="61">
        <f t="shared" si="8"/>
        <v>2.0892940518422139E-3</v>
      </c>
      <c r="AA113" s="33">
        <f>VLOOKUP(V113,'Hazard Weighting Functions'!$B$5:$G$1205,5,FALSE)</f>
        <v>0</v>
      </c>
      <c r="AB113" s="33">
        <f>AA113*W113</f>
        <v>0</v>
      </c>
      <c r="AC113" s="33">
        <f>0.5*(V114-V113)*(AB113+AB114)</f>
        <v>0</v>
      </c>
      <c r="AE113" s="20"/>
      <c r="AF113" s="20"/>
      <c r="AJ113" s="20"/>
      <c r="AO113" s="20"/>
      <c r="AP113" s="20"/>
      <c r="AU113" s="20"/>
      <c r="AV113" s="20"/>
      <c r="AZ113" s="1"/>
      <c r="BA113" s="20"/>
      <c r="BE113" s="20"/>
      <c r="BF113" s="20"/>
    </row>
    <row r="114" spans="2:58">
      <c r="B114" s="59">
        <v>370</v>
      </c>
      <c r="C114" s="36">
        <v>11.1051</v>
      </c>
      <c r="V114" s="61">
        <f t="shared" si="5"/>
        <v>370</v>
      </c>
      <c r="W114" s="61">
        <f t="shared" si="6"/>
        <v>11.1051</v>
      </c>
      <c r="X114" s="33">
        <f>VLOOKUP(V114,'Hazard Weighting Functions'!$B$5:$G$1205,2,FALSE)</f>
        <v>9.2999999999999997E-5</v>
      </c>
      <c r="Y114" s="33">
        <f t="shared" si="7"/>
        <v>1.0327743000000001E-3</v>
      </c>
      <c r="Z114" s="61">
        <f t="shared" si="8"/>
        <v>2.0257606692824955E-3</v>
      </c>
      <c r="AA114" s="33">
        <f>VLOOKUP(V114,'Hazard Weighting Functions'!$B$5:$G$1205,5,FALSE)</f>
        <v>0</v>
      </c>
      <c r="AB114" s="33">
        <f>AA114*W114</f>
        <v>0</v>
      </c>
      <c r="AC114" s="33">
        <f>0.5*(V115-V114)*(AB114+AB115)</f>
        <v>0</v>
      </c>
      <c r="AE114" s="20"/>
      <c r="AF114" s="20"/>
      <c r="AJ114" s="20"/>
      <c r="AO114" s="20"/>
      <c r="AP114" s="20"/>
      <c r="AU114" s="20"/>
      <c r="AV114" s="20"/>
      <c r="AZ114" s="1"/>
      <c r="BA114" s="20"/>
      <c r="BE114" s="20"/>
      <c r="BF114" s="20"/>
    </row>
    <row r="115" spans="2:58">
      <c r="B115" s="59">
        <v>372</v>
      </c>
      <c r="C115" s="36">
        <v>11.546353131191808</v>
      </c>
      <c r="V115" s="61">
        <f t="shared" si="5"/>
        <v>372</v>
      </c>
      <c r="W115" s="61">
        <f t="shared" si="6"/>
        <v>11.546353131191808</v>
      </c>
      <c r="X115" s="33">
        <f>VLOOKUP(V115,'Hazard Weighting Functions'!$B$5:$G$1205,2,FALSE)</f>
        <v>8.6000000000000003E-5</v>
      </c>
      <c r="Y115" s="33">
        <f t="shared" si="7"/>
        <v>9.9298636928249538E-4</v>
      </c>
      <c r="Z115" s="61">
        <f t="shared" si="8"/>
        <v>1.9529411024016806E-3</v>
      </c>
      <c r="AA115" s="33">
        <f>VLOOKUP(V115,'Hazard Weighting Functions'!$B$5:$G$1205,5,FALSE)</f>
        <v>0</v>
      </c>
      <c r="AB115" s="33">
        <f>AA115*W115</f>
        <v>0</v>
      </c>
      <c r="AC115" s="33">
        <f>0.5*(V116-V115)*(AB115+AB116)</f>
        <v>0</v>
      </c>
      <c r="AE115" s="20"/>
      <c r="AF115" s="20"/>
      <c r="AJ115" s="20"/>
      <c r="AO115" s="20"/>
      <c r="AP115" s="20"/>
      <c r="AU115" s="20"/>
      <c r="AV115" s="20"/>
      <c r="AZ115" s="1"/>
      <c r="BA115" s="20"/>
      <c r="BE115" s="20"/>
      <c r="BF115" s="20"/>
    </row>
    <row r="116" spans="2:58">
      <c r="B116" s="59">
        <v>374</v>
      </c>
      <c r="C116" s="36">
        <v>11.999434163989815</v>
      </c>
      <c r="V116" s="61">
        <f t="shared" si="5"/>
        <v>374</v>
      </c>
      <c r="W116" s="61">
        <f t="shared" si="6"/>
        <v>11.999434163989815</v>
      </c>
      <c r="X116" s="33">
        <f>VLOOKUP(V116,'Hazard Weighting Functions'!$B$5:$G$1205,2,FALSE)</f>
        <v>8.0000000000000007E-5</v>
      </c>
      <c r="Y116" s="33">
        <f t="shared" si="7"/>
        <v>9.5995473311918521E-4</v>
      </c>
      <c r="Z116" s="61">
        <f t="shared" si="8"/>
        <v>1.8827301213341007E-3</v>
      </c>
      <c r="AA116" s="33">
        <f>VLOOKUP(V116,'Hazard Weighting Functions'!$B$5:$G$1205,5,FALSE)</f>
        <v>0</v>
      </c>
      <c r="AB116" s="33">
        <f>AA116*W116</f>
        <v>0</v>
      </c>
      <c r="AC116" s="33">
        <f>0.5*(V117-V116)*(AB116+AB117)</f>
        <v>0</v>
      </c>
      <c r="AE116" s="20"/>
      <c r="AF116" s="20"/>
      <c r="AJ116" s="20"/>
      <c r="AO116" s="20"/>
      <c r="AP116" s="20"/>
      <c r="AU116" s="20"/>
      <c r="AV116" s="20"/>
      <c r="AZ116" s="1"/>
      <c r="BA116" s="20"/>
      <c r="BE116" s="20"/>
      <c r="BF116" s="20"/>
    </row>
    <row r="117" spans="2:58">
      <c r="B117" s="59">
        <v>376</v>
      </c>
      <c r="C117" s="36">
        <v>12.469937678579939</v>
      </c>
      <c r="V117" s="61">
        <f t="shared" si="5"/>
        <v>376</v>
      </c>
      <c r="W117" s="61">
        <f t="shared" si="6"/>
        <v>12.469937678579939</v>
      </c>
      <c r="X117" s="33">
        <f>VLOOKUP(V117,'Hazard Weighting Functions'!$B$5:$G$1205,2,FALSE)</f>
        <v>7.3999999999999996E-5</v>
      </c>
      <c r="Y117" s="33">
        <f t="shared" si="7"/>
        <v>9.2277538821491543E-4</v>
      </c>
      <c r="Z117" s="61">
        <f t="shared" si="8"/>
        <v>1.8170429992805876E-3</v>
      </c>
      <c r="AA117" s="33">
        <f>VLOOKUP(V117,'Hazard Weighting Functions'!$B$5:$G$1205,5,FALSE)</f>
        <v>0</v>
      </c>
      <c r="AB117" s="33">
        <f>AA117*W117</f>
        <v>0</v>
      </c>
      <c r="AC117" s="33">
        <f>0.5*(V118-V117)*(AB117+AB118)</f>
        <v>0</v>
      </c>
      <c r="AE117" s="20"/>
      <c r="AF117" s="20"/>
      <c r="AJ117" s="20"/>
      <c r="AO117" s="20"/>
      <c r="AP117" s="20"/>
      <c r="AU117" s="20"/>
      <c r="AV117" s="20"/>
      <c r="AZ117" s="1"/>
      <c r="BA117" s="20"/>
      <c r="BE117" s="20"/>
      <c r="BF117" s="20"/>
    </row>
    <row r="118" spans="2:58">
      <c r="B118" s="59">
        <v>378</v>
      </c>
      <c r="C118" s="36">
        <v>12.96040016037206</v>
      </c>
      <c r="V118" s="61">
        <f t="shared" si="5"/>
        <v>378</v>
      </c>
      <c r="W118" s="61">
        <f t="shared" si="6"/>
        <v>12.96040016037206</v>
      </c>
      <c r="X118" s="33">
        <f>VLOOKUP(V118,'Hazard Weighting Functions'!$B$5:$G$1205,2,FALSE)</f>
        <v>6.8999999999999997E-5</v>
      </c>
      <c r="Y118" s="33">
        <f t="shared" si="7"/>
        <v>8.9426761106567215E-4</v>
      </c>
      <c r="Z118" s="61">
        <f t="shared" si="8"/>
        <v>1.7563668110656722E-3</v>
      </c>
      <c r="AA118" s="33">
        <f>VLOOKUP(V118,'Hazard Weighting Functions'!$B$5:$G$1205,5,FALSE)</f>
        <v>0</v>
      </c>
      <c r="AB118" s="33">
        <f>AA118*W118</f>
        <v>0</v>
      </c>
      <c r="AC118" s="33">
        <f>0.5*(V119-V118)*(AB118+AB119)</f>
        <v>5.2534169999999994E-4</v>
      </c>
      <c r="AE118" s="20"/>
      <c r="AF118" s="20"/>
      <c r="AJ118" s="20"/>
      <c r="AO118" s="20"/>
      <c r="AP118" s="20"/>
      <c r="AU118" s="20"/>
      <c r="AV118" s="20"/>
      <c r="AZ118" s="1"/>
      <c r="BA118" s="20"/>
      <c r="BE118" s="20"/>
      <c r="BF118" s="20"/>
    </row>
    <row r="119" spans="2:58">
      <c r="B119" s="59">
        <v>380</v>
      </c>
      <c r="C119" s="36">
        <v>13.4703</v>
      </c>
      <c r="V119" s="61">
        <f t="shared" si="5"/>
        <v>380</v>
      </c>
      <c r="W119" s="61">
        <f t="shared" si="6"/>
        <v>13.4703</v>
      </c>
      <c r="X119" s="33">
        <f>VLOOKUP(V119,'Hazard Weighting Functions'!$B$5:$G$1205,2,FALSE)</f>
        <v>6.3999999999999997E-5</v>
      </c>
      <c r="Y119" s="33">
        <f t="shared" si="7"/>
        <v>8.6209919999999992E-4</v>
      </c>
      <c r="Z119" s="61">
        <f t="shared" si="8"/>
        <v>1.6878760804271311E-3</v>
      </c>
      <c r="AA119" s="33">
        <f>VLOOKUP(V119,'Hazard Weighting Functions'!$B$5:$G$1205,5,FALSE)</f>
        <v>3.8999999999999999E-5</v>
      </c>
      <c r="AB119" s="33">
        <f>AA119*W119</f>
        <v>5.2534169999999994E-4</v>
      </c>
      <c r="AC119" s="33">
        <f>0.5*(V120-V119)*(AB119+AB120)</f>
        <v>1.1949630479665897E-3</v>
      </c>
      <c r="AE119" s="20"/>
      <c r="AF119" s="20"/>
      <c r="AJ119" s="20"/>
      <c r="AO119" s="20"/>
      <c r="AP119" s="20"/>
      <c r="AU119" s="20"/>
      <c r="AV119" s="20"/>
      <c r="AZ119" s="1"/>
      <c r="BA119" s="20"/>
      <c r="BE119" s="20"/>
      <c r="BF119" s="20"/>
    </row>
    <row r="120" spans="2:58">
      <c r="B120" s="59">
        <v>382</v>
      </c>
      <c r="C120" s="36">
        <v>13.996218312324256</v>
      </c>
      <c r="N120" s="58"/>
      <c r="O120" s="58"/>
      <c r="V120" s="61">
        <f t="shared" si="5"/>
        <v>382</v>
      </c>
      <c r="W120" s="61">
        <f t="shared" si="6"/>
        <v>13.996218312324256</v>
      </c>
      <c r="X120" s="33">
        <f>VLOOKUP(V120,'Hazard Weighting Functions'!$B$5:$G$1205,2,FALSE)</f>
        <v>5.8999999999999998E-5</v>
      </c>
      <c r="Y120" s="33">
        <f t="shared" si="7"/>
        <v>8.2577688042713112E-4</v>
      </c>
      <c r="Z120" s="61">
        <f t="shared" si="8"/>
        <v>1.6245792227696312E-3</v>
      </c>
      <c r="AA120" s="33">
        <f>VLOOKUP(V120,'Hazard Weighting Functions'!$B$5:$G$1205,5,FALSE)</f>
        <v>4.784301966603079E-5</v>
      </c>
      <c r="AB120" s="33">
        <f>AA120*W120</f>
        <v>6.696213479665897E-4</v>
      </c>
      <c r="AC120" s="33">
        <f>0.5*(V121-V120)*(AB120+AB121)</f>
        <v>1.5041135915505126E-3</v>
      </c>
      <c r="AE120" s="20"/>
      <c r="AF120" s="20"/>
      <c r="AJ120" s="20"/>
      <c r="AO120" s="20"/>
      <c r="AP120" s="20"/>
      <c r="AU120" s="20"/>
      <c r="AV120" s="20"/>
      <c r="AZ120" s="1"/>
      <c r="BA120" s="20"/>
      <c r="BE120" s="20"/>
      <c r="BF120" s="20"/>
    </row>
    <row r="121" spans="2:58">
      <c r="B121" s="59">
        <v>384</v>
      </c>
      <c r="C121" s="36">
        <v>14.52367895168182</v>
      </c>
      <c r="N121" s="58"/>
      <c r="O121" s="58"/>
      <c r="V121" s="61">
        <f t="shared" si="5"/>
        <v>384</v>
      </c>
      <c r="W121" s="61">
        <f t="shared" si="6"/>
        <v>14.52367895168182</v>
      </c>
      <c r="X121" s="33">
        <f>VLOOKUP(V121,'Hazard Weighting Functions'!$B$5:$G$1205,2,FALSE)</f>
        <v>5.5000000000000002E-5</v>
      </c>
      <c r="Y121" s="33">
        <f t="shared" si="7"/>
        <v>7.9880234234250009E-4</v>
      </c>
      <c r="Z121" s="61">
        <f t="shared" si="8"/>
        <v>1.5656511420923205E-3</v>
      </c>
      <c r="AA121" s="33">
        <f>VLOOKUP(V121,'Hazard Weighting Functions'!$B$5:$G$1205,5,FALSE)</f>
        <v>5.7457359554707719E-5</v>
      </c>
      <c r="AB121" s="33">
        <f>AA121*W121</f>
        <v>8.3449224358392283E-4</v>
      </c>
      <c r="AC121" s="33">
        <f>0.5*(V122-V121)*(AB121+AB122)</f>
        <v>1.9221136089351267E-3</v>
      </c>
      <c r="AE121" s="20"/>
      <c r="AF121" s="20"/>
      <c r="AJ121" s="20"/>
      <c r="AO121" s="20"/>
      <c r="AP121" s="20"/>
      <c r="AU121" s="20"/>
      <c r="AV121" s="20"/>
      <c r="AZ121" s="1"/>
      <c r="BA121" s="20"/>
      <c r="BE121" s="20"/>
      <c r="BF121" s="20"/>
    </row>
    <row r="122" spans="2:58">
      <c r="B122" s="59">
        <v>386</v>
      </c>
      <c r="C122" s="36">
        <v>15.036250975486677</v>
      </c>
      <c r="N122" s="58"/>
      <c r="O122" s="58"/>
      <c r="V122" s="61">
        <f t="shared" si="5"/>
        <v>386</v>
      </c>
      <c r="W122" s="61">
        <f t="shared" si="6"/>
        <v>15.036250975486677</v>
      </c>
      <c r="X122" s="33">
        <f>VLOOKUP(V122,'Hazard Weighting Functions'!$B$5:$G$1205,2,FALSE)</f>
        <v>5.1E-5</v>
      </c>
      <c r="Y122" s="33">
        <f t="shared" si="7"/>
        <v>7.668487997498205E-4</v>
      </c>
      <c r="Z122" s="61">
        <f t="shared" si="8"/>
        <v>1.4970465506667172E-3</v>
      </c>
      <c r="AA122" s="33">
        <f>VLOOKUP(V122,'Hazard Weighting Functions'!$B$5:$G$1205,5,FALSE)</f>
        <v>7.2333280890584555E-5</v>
      </c>
      <c r="AB122" s="33">
        <f>AA122*W122</f>
        <v>1.0876213653512039E-3</v>
      </c>
      <c r="AC122" s="33">
        <f>0.5*(V123-V122)*(AB122+AB123)</f>
        <v>2.544829823364186E-3</v>
      </c>
      <c r="AE122" s="20"/>
      <c r="AF122" s="20"/>
      <c r="AJ122" s="20"/>
      <c r="AO122" s="20"/>
      <c r="AP122" s="20"/>
      <c r="AU122" s="20"/>
      <c r="AV122" s="20"/>
      <c r="AZ122" s="1"/>
      <c r="BA122" s="20"/>
      <c r="BE122" s="20"/>
      <c r="BF122" s="20"/>
    </row>
    <row r="123" spans="2:58">
      <c r="B123" s="59">
        <v>388</v>
      </c>
      <c r="C123" s="36">
        <v>15.536122359933971</v>
      </c>
      <c r="N123" s="58"/>
      <c r="O123" s="58"/>
      <c r="V123" s="61">
        <f t="shared" si="5"/>
        <v>388</v>
      </c>
      <c r="W123" s="61">
        <f t="shared" si="6"/>
        <v>15.536122359933971</v>
      </c>
      <c r="X123" s="33">
        <f>VLOOKUP(V123,'Hazard Weighting Functions'!$B$5:$G$1205,2,FALSE)</f>
        <v>4.6999999999999997E-5</v>
      </c>
      <c r="Y123" s="33">
        <f t="shared" si="7"/>
        <v>7.3019775091689662E-4</v>
      </c>
      <c r="Z123" s="61">
        <f t="shared" si="8"/>
        <v>1.4361381509168966E-3</v>
      </c>
      <c r="AA123" s="33">
        <f>VLOOKUP(V123,'Hazard Weighting Functions'!$B$5:$G$1205,5,FALSE)</f>
        <v>9.3794862337784476E-5</v>
      </c>
      <c r="AB123" s="33">
        <f>AA123*W123</f>
        <v>1.4572084580129821E-3</v>
      </c>
      <c r="AC123" s="33">
        <f>0.5*(V124-V123)*(AB123+AB124)</f>
        <v>3.3825004580129822E-3</v>
      </c>
      <c r="AE123" s="20"/>
      <c r="AF123" s="20"/>
      <c r="AJ123" s="20"/>
      <c r="AO123" s="20"/>
      <c r="AP123" s="20"/>
      <c r="AU123" s="20"/>
      <c r="AV123" s="20"/>
      <c r="AZ123" s="1"/>
      <c r="BA123" s="20"/>
      <c r="BE123" s="20"/>
      <c r="BF123" s="20"/>
    </row>
    <row r="124" spans="2:58">
      <c r="B124" s="59">
        <v>390</v>
      </c>
      <c r="C124" s="36">
        <v>16.0441</v>
      </c>
      <c r="N124" s="58"/>
      <c r="O124" s="58"/>
      <c r="V124" s="61">
        <f t="shared" si="5"/>
        <v>390</v>
      </c>
      <c r="W124" s="61">
        <f t="shared" si="6"/>
        <v>16.0441</v>
      </c>
      <c r="X124" s="33">
        <f>VLOOKUP(V124,'Hazard Weighting Functions'!$B$5:$G$1205,2,FALSE)</f>
        <v>4.3999999999999999E-5</v>
      </c>
      <c r="Y124" s="33">
        <f t="shared" si="7"/>
        <v>7.0594039999999998E-4</v>
      </c>
      <c r="Z124" s="61">
        <f t="shared" si="8"/>
        <v>1.3855896280952585E-3</v>
      </c>
      <c r="AA124" s="33">
        <f>VLOOKUP(V124,'Hazard Weighting Functions'!$B$5:$G$1205,5,FALSE)</f>
        <v>1.2E-4</v>
      </c>
      <c r="AB124" s="33">
        <f>AA124*W124</f>
        <v>1.9252920000000001E-3</v>
      </c>
      <c r="AC124" s="33">
        <f>0.5*(V125-V124)*(AB124+AB125)</f>
        <v>4.4198933188884576E-3</v>
      </c>
      <c r="AE124" s="20"/>
      <c r="AF124" s="20"/>
      <c r="AJ124" s="20"/>
      <c r="AO124" s="20"/>
      <c r="AP124" s="20"/>
      <c r="AU124" s="20"/>
      <c r="AV124" s="20"/>
      <c r="AZ124" s="1"/>
      <c r="BA124" s="20"/>
      <c r="BE124" s="20"/>
      <c r="BF124" s="20"/>
    </row>
    <row r="125" spans="2:58">
      <c r="B125" s="59">
        <v>392</v>
      </c>
      <c r="C125" s="36">
        <v>16.576810441347771</v>
      </c>
      <c r="N125" s="58"/>
      <c r="O125" s="58"/>
      <c r="V125" s="61">
        <f t="shared" si="5"/>
        <v>392</v>
      </c>
      <c r="W125" s="61">
        <f t="shared" si="6"/>
        <v>16.576810441347771</v>
      </c>
      <c r="X125" s="33">
        <f>VLOOKUP(V125,'Hazard Weighting Functions'!$B$5:$G$1205,2,FALSE)</f>
        <v>4.1E-5</v>
      </c>
      <c r="Y125" s="33">
        <f t="shared" si="7"/>
        <v>6.7964922809525866E-4</v>
      </c>
      <c r="Z125" s="61">
        <f t="shared" si="8"/>
        <v>1.3134932961988176E-3</v>
      </c>
      <c r="AA125" s="33">
        <f>VLOOKUP(V125,'Hazard Weighting Functions'!$B$5:$G$1205,5,FALSE)</f>
        <v>1.504874129866466E-4</v>
      </c>
      <c r="AB125" s="33">
        <f>AA125*W125</f>
        <v>2.4946013188884577E-3</v>
      </c>
      <c r="AC125" s="33">
        <f>0.5*(V126-V125)*(AB125+AB126)</f>
        <v>5.7643759307915935E-3</v>
      </c>
      <c r="AE125" s="20"/>
      <c r="AF125" s="20"/>
      <c r="AJ125" s="20"/>
      <c r="AO125" s="20"/>
      <c r="AP125" s="20"/>
      <c r="AU125" s="20"/>
      <c r="AV125" s="20"/>
      <c r="AZ125" s="1"/>
      <c r="BA125" s="20"/>
      <c r="BE125" s="20"/>
      <c r="BF125" s="20"/>
    </row>
    <row r="126" spans="2:58">
      <c r="B126" s="59">
        <v>394</v>
      </c>
      <c r="C126" s="36">
        <v>17.13092075955565</v>
      </c>
      <c r="N126" s="58"/>
      <c r="O126" s="58"/>
      <c r="V126" s="61">
        <f t="shared" si="5"/>
        <v>394</v>
      </c>
      <c r="W126" s="61">
        <f t="shared" si="6"/>
        <v>17.13092075955565</v>
      </c>
      <c r="X126" s="33">
        <f>VLOOKUP(V126,'Hazard Weighting Functions'!$B$5:$G$1205,2,FALSE)</f>
        <v>3.6999999999999998E-5</v>
      </c>
      <c r="Y126" s="33">
        <f t="shared" si="7"/>
        <v>6.3384406810355898E-4</v>
      </c>
      <c r="Z126" s="61">
        <f t="shared" si="8"/>
        <v>1.2532838393417324E-3</v>
      </c>
      <c r="AA126" s="33">
        <f>VLOOKUP(V126,'Hazard Weighting Functions'!$B$5:$G$1205,5,FALSE)</f>
        <v>1.908697528753235E-4</v>
      </c>
      <c r="AB126" s="33">
        <f>AA126*W126</f>
        <v>3.2697746119031363E-3</v>
      </c>
      <c r="AC126" s="33">
        <f>0.5*(V127-V126)*(AB126+AB127)</f>
        <v>7.6572589528865866E-3</v>
      </c>
      <c r="AE126" s="20"/>
      <c r="AF126" s="20"/>
      <c r="AJ126" s="20"/>
      <c r="AO126" s="20"/>
      <c r="AP126" s="20"/>
      <c r="AU126" s="20"/>
      <c r="AV126" s="20"/>
      <c r="AZ126" s="1"/>
      <c r="BA126" s="20"/>
      <c r="BE126" s="20"/>
      <c r="BF126" s="20"/>
    </row>
    <row r="127" spans="2:58">
      <c r="B127" s="59">
        <v>396</v>
      </c>
      <c r="C127" s="36">
        <v>17.69827917823353</v>
      </c>
      <c r="N127" s="58"/>
      <c r="O127" s="58"/>
      <c r="V127" s="61">
        <f t="shared" si="5"/>
        <v>396</v>
      </c>
      <c r="W127" s="61">
        <f t="shared" si="6"/>
        <v>17.69827917823353</v>
      </c>
      <c r="X127" s="33">
        <f>VLOOKUP(V127,'Hazard Weighting Functions'!$B$5:$G$1205,2,FALSE)</f>
        <v>3.4999999999999997E-5</v>
      </c>
      <c r="Y127" s="33">
        <f t="shared" si="7"/>
        <v>6.1943977123817353E-4</v>
      </c>
      <c r="Z127" s="61">
        <f t="shared" si="8"/>
        <v>1.2042291241566865E-3</v>
      </c>
      <c r="AA127" s="33">
        <f>VLOOKUP(V127,'Hazard Weighting Functions'!$B$5:$G$1205,5,FALSE)</f>
        <v>2.4790457291347612E-4</v>
      </c>
      <c r="AB127" s="33">
        <f>AA127*W127</f>
        <v>4.3874843409834503E-3</v>
      </c>
      <c r="AC127" s="33">
        <f>0.5*(V128-V127)*(AB127+AB128)</f>
        <v>1.0230938095727643E-2</v>
      </c>
      <c r="AE127" s="20"/>
      <c r="AF127" s="20"/>
      <c r="AJ127" s="20"/>
      <c r="AO127" s="20"/>
      <c r="AP127" s="20"/>
      <c r="AU127" s="20"/>
      <c r="AV127" s="20"/>
      <c r="AZ127" s="1"/>
      <c r="BA127" s="20"/>
      <c r="BE127" s="20"/>
      <c r="BF127" s="20"/>
    </row>
    <row r="128" spans="2:58">
      <c r="B128" s="59">
        <v>398</v>
      </c>
      <c r="C128" s="36">
        <v>18.274667278703529</v>
      </c>
      <c r="N128" s="58"/>
      <c r="O128" s="58"/>
      <c r="V128" s="61">
        <f t="shared" si="5"/>
        <v>398</v>
      </c>
      <c r="W128" s="61">
        <f t="shared" si="6"/>
        <v>18.274667278703529</v>
      </c>
      <c r="X128" s="33">
        <f>VLOOKUP(V128,'Hazard Weighting Functions'!$B$5:$G$1205,2,FALSE)</f>
        <v>3.1999999999999999E-5</v>
      </c>
      <c r="Y128" s="33">
        <f t="shared" si="7"/>
        <v>5.8478935291851294E-4</v>
      </c>
      <c r="Z128" s="61">
        <f t="shared" si="8"/>
        <v>1.1505833529185129E-3</v>
      </c>
      <c r="AA128" s="33">
        <f>VLOOKUP(V128,'Hazard Weighting Functions'!$B$5:$G$1205,5,FALSE)</f>
        <v>3.1975705306295181E-4</v>
      </c>
      <c r="AB128" s="33">
        <f>AA128*W128</f>
        <v>5.8434537547441935E-3</v>
      </c>
      <c r="AC128" s="33">
        <f>0.5*(V129-V128)*(AB128+AB129)</f>
        <v>1.3311934554744193E-2</v>
      </c>
      <c r="AE128" s="20"/>
      <c r="AF128" s="20"/>
      <c r="AJ128" s="20"/>
      <c r="AO128" s="20"/>
      <c r="AP128" s="20"/>
      <c r="AU128" s="20"/>
      <c r="AV128" s="20"/>
      <c r="AZ128" s="1"/>
      <c r="BA128" s="20"/>
      <c r="BE128" s="20"/>
      <c r="BF128" s="20"/>
    </row>
    <row r="129" spans="2:58">
      <c r="B129" s="59">
        <v>400</v>
      </c>
      <c r="C129" s="36">
        <v>18.8598</v>
      </c>
      <c r="N129" s="58"/>
      <c r="O129" s="58"/>
      <c r="V129" s="61">
        <f t="shared" si="5"/>
        <v>400</v>
      </c>
      <c r="W129" s="61">
        <f t="shared" si="6"/>
        <v>18.8598</v>
      </c>
      <c r="X129" s="33">
        <f>VLOOKUP(V129,'Hazard Weighting Functions'!$B$5:$G$1205,2,FALSE)</f>
        <v>3.0000000000000001E-5</v>
      </c>
      <c r="Y129" s="33">
        <f t="shared" si="7"/>
        <v>5.65794E-4</v>
      </c>
      <c r="AA129" s="33">
        <f>VLOOKUP(V129,'Hazard Weighting Functions'!$B$5:$G$1205,5,FALSE)</f>
        <v>3.9599999999999998E-4</v>
      </c>
      <c r="AB129" s="33">
        <f>AA129*W129</f>
        <v>7.4684807999999998E-3</v>
      </c>
      <c r="AC129" s="33">
        <f>0.5*(V130-V129)*(AB129+AB130)</f>
        <v>5.1231842E-2</v>
      </c>
      <c r="AE129" s="20"/>
      <c r="AF129" s="20"/>
      <c r="AJ129" s="20"/>
      <c r="AO129" s="20"/>
      <c r="AP129" s="20"/>
      <c r="AU129" s="20"/>
      <c r="AV129" s="20"/>
      <c r="AZ129" s="1"/>
      <c r="BA129" s="20"/>
      <c r="BE129" s="20"/>
      <c r="BF129" s="20"/>
    </row>
    <row r="130" spans="2:58">
      <c r="B130" s="33">
        <v>405</v>
      </c>
      <c r="C130" s="36">
        <v>20.3504</v>
      </c>
      <c r="N130" s="58"/>
      <c r="O130" s="58"/>
      <c r="V130" s="61">
        <f t="shared" si="5"/>
        <v>405</v>
      </c>
      <c r="W130" s="61">
        <f t="shared" si="6"/>
        <v>20.3504</v>
      </c>
      <c r="X130" s="33">
        <f>VLOOKUP(V130,'Hazard Weighting Functions'!$B$5:$G$1205,2,FALSE)</f>
        <v>0</v>
      </c>
      <c r="Y130" s="33">
        <f t="shared" si="7"/>
        <v>0</v>
      </c>
      <c r="Z130" s="33">
        <f t="shared" ref="Z94:Z157" si="9">0.5*(V131-V130)*(Y130+Y131)</f>
        <v>0</v>
      </c>
      <c r="AA130" s="33">
        <f>VLOOKUP(V130,'Hazard Weighting Functions'!$B$5:$G$1205,5,FALSE)</f>
        <v>6.4000000000000005E-4</v>
      </c>
      <c r="AB130" s="33">
        <f>AA130*W130</f>
        <v>1.3024256000000001E-2</v>
      </c>
      <c r="AC130" s="33">
        <f>0.5*(V131-V130)*(AB130+AB131)</f>
        <v>9.8747942499999991E-2</v>
      </c>
      <c r="AE130" s="20"/>
      <c r="AF130" s="20"/>
      <c r="AJ130" s="20"/>
      <c r="AO130" s="20"/>
      <c r="AP130" s="20"/>
      <c r="AU130" s="20"/>
      <c r="AV130" s="20"/>
      <c r="AZ130" s="1"/>
      <c r="BA130" s="20"/>
      <c r="BE130" s="20"/>
      <c r="BF130" s="20"/>
    </row>
    <row r="131" spans="2:58">
      <c r="B131" s="33">
        <v>410</v>
      </c>
      <c r="C131" s="36">
        <v>21.880099999999999</v>
      </c>
      <c r="N131" s="58"/>
      <c r="O131" s="58"/>
      <c r="V131" s="61">
        <f t="shared" si="5"/>
        <v>410</v>
      </c>
      <c r="W131" s="61">
        <f t="shared" si="6"/>
        <v>21.880099999999999</v>
      </c>
      <c r="X131" s="33">
        <f>VLOOKUP(V131,'Hazard Weighting Functions'!$B$5:$G$1205,2,FALSE)</f>
        <v>0</v>
      </c>
      <c r="Y131" s="33">
        <f t="shared" si="7"/>
        <v>0</v>
      </c>
      <c r="Z131" s="33">
        <f t="shared" si="9"/>
        <v>0</v>
      </c>
      <c r="AA131" s="33">
        <f>VLOOKUP(V131,'Hazard Weighting Functions'!$B$5:$G$1205,5,FALSE)</f>
        <v>1.2099999999999999E-3</v>
      </c>
      <c r="AB131" s="33">
        <f>AA131*W131</f>
        <v>2.6474920999999998E-2</v>
      </c>
      <c r="AC131" s="33">
        <f>0.5*(V132-V131)*(AB131+AB132)</f>
        <v>0.19439310250000003</v>
      </c>
      <c r="AE131" s="20"/>
      <c r="AF131" s="20"/>
      <c r="AJ131" s="20"/>
      <c r="AO131" s="20"/>
      <c r="AP131" s="20"/>
      <c r="AU131" s="20"/>
      <c r="AV131" s="20"/>
      <c r="AZ131" s="1"/>
      <c r="BA131" s="20"/>
      <c r="BE131" s="20"/>
      <c r="BF131" s="20"/>
    </row>
    <row r="132" spans="2:58">
      <c r="B132" s="33">
        <v>415</v>
      </c>
      <c r="C132" s="36">
        <v>23.524000000000001</v>
      </c>
      <c r="N132" s="58"/>
      <c r="O132" s="58"/>
      <c r="V132" s="61">
        <f t="shared" si="5"/>
        <v>415</v>
      </c>
      <c r="W132" s="61">
        <f t="shared" si="6"/>
        <v>23.524000000000001</v>
      </c>
      <c r="X132" s="33">
        <f>VLOOKUP(V132,'Hazard Weighting Functions'!$B$5:$G$1205,2,FALSE)</f>
        <v>0</v>
      </c>
      <c r="Y132" s="33">
        <f t="shared" si="7"/>
        <v>0</v>
      </c>
      <c r="Z132" s="33">
        <f t="shared" si="9"/>
        <v>0</v>
      </c>
      <c r="AA132" s="33">
        <f>VLOOKUP(V132,'Hazard Weighting Functions'!$B$5:$G$1205,5,FALSE)</f>
        <v>2.1800000000000001E-3</v>
      </c>
      <c r="AB132" s="33">
        <f>AA132*W132</f>
        <v>5.1282320000000006E-2</v>
      </c>
      <c r="AC132" s="33">
        <f>0.5*(V133-V132)*(AB132+AB133)</f>
        <v>0.37976380000000004</v>
      </c>
      <c r="AE132" s="20"/>
      <c r="AF132" s="20"/>
      <c r="AJ132" s="20"/>
      <c r="AO132" s="20"/>
      <c r="AP132" s="20"/>
      <c r="AU132" s="20"/>
      <c r="AV132" s="20"/>
      <c r="AZ132" s="1"/>
      <c r="BA132" s="20"/>
      <c r="BE132" s="20"/>
      <c r="BF132" s="20"/>
    </row>
    <row r="133" spans="2:58">
      <c r="B133" s="33">
        <v>420</v>
      </c>
      <c r="C133" s="36">
        <v>25.155799999999999</v>
      </c>
      <c r="N133" s="58"/>
      <c r="O133" s="58"/>
      <c r="V133" s="61">
        <f t="shared" si="5"/>
        <v>420</v>
      </c>
      <c r="W133" s="61">
        <f t="shared" si="6"/>
        <v>25.155799999999999</v>
      </c>
      <c r="X133" s="33">
        <f>VLOOKUP(V133,'Hazard Weighting Functions'!$B$5:$G$1205,2,FALSE)</f>
        <v>0</v>
      </c>
      <c r="Y133" s="33">
        <f t="shared" si="7"/>
        <v>0</v>
      </c>
      <c r="Z133" s="33">
        <f t="shared" si="9"/>
        <v>0</v>
      </c>
      <c r="AA133" s="33">
        <f>VLOOKUP(V133,'Hazard Weighting Functions'!$B$5:$G$1205,5,FALSE)</f>
        <v>4.0000000000000001E-3</v>
      </c>
      <c r="AB133" s="33">
        <f>AA133*W133</f>
        <v>0.1006232</v>
      </c>
      <c r="AC133" s="33">
        <f>0.5*(V134-V133)*(AB133+AB134)</f>
        <v>0.742875375</v>
      </c>
      <c r="AE133" s="20"/>
      <c r="AF133" s="20"/>
      <c r="AJ133" s="20"/>
      <c r="AO133" s="20"/>
      <c r="AP133" s="20"/>
      <c r="AU133" s="20"/>
      <c r="AV133" s="20"/>
      <c r="AZ133" s="1"/>
      <c r="BA133" s="20"/>
      <c r="BE133" s="20"/>
      <c r="BF133" s="20"/>
    </row>
    <row r="134" spans="2:58">
      <c r="B134" s="33">
        <v>425</v>
      </c>
      <c r="C134" s="36">
        <v>26.921500000000002</v>
      </c>
      <c r="N134" s="58"/>
      <c r="O134" s="58"/>
      <c r="V134" s="61">
        <f t="shared" si="5"/>
        <v>425</v>
      </c>
      <c r="W134" s="61">
        <f t="shared" si="6"/>
        <v>26.921500000000002</v>
      </c>
      <c r="X134" s="33">
        <f>VLOOKUP(V134,'Hazard Weighting Functions'!$B$5:$G$1205,2,FALSE)</f>
        <v>0</v>
      </c>
      <c r="Y134" s="33">
        <f t="shared" si="7"/>
        <v>0</v>
      </c>
      <c r="Z134" s="33">
        <f t="shared" si="9"/>
        <v>0</v>
      </c>
      <c r="AA134" s="33">
        <f>VLOOKUP(V134,'Hazard Weighting Functions'!$B$5:$G$1205,5,FALSE)</f>
        <v>7.3000000000000001E-3</v>
      </c>
      <c r="AB134" s="33">
        <f>AA134*W134</f>
        <v>0.19652695000000001</v>
      </c>
      <c r="AC134" s="33">
        <f>0.5*(V135-V134)*(AB134+AB135)</f>
        <v>1.323771075</v>
      </c>
      <c r="AE134" s="20"/>
      <c r="AF134" s="20"/>
      <c r="AJ134" s="20"/>
      <c r="AO134" s="20"/>
      <c r="AP134" s="20"/>
      <c r="AU134" s="20"/>
      <c r="AV134" s="20"/>
      <c r="AZ134" s="1"/>
      <c r="BA134" s="20"/>
      <c r="BE134" s="20"/>
      <c r="BF134" s="20"/>
    </row>
    <row r="135" spans="2:58">
      <c r="B135" s="33">
        <v>430</v>
      </c>
      <c r="C135" s="36">
        <v>28.705300000000001</v>
      </c>
      <c r="N135" s="58"/>
      <c r="O135" s="58"/>
      <c r="V135" s="61">
        <f t="shared" si="5"/>
        <v>430</v>
      </c>
      <c r="W135" s="61">
        <f t="shared" si="6"/>
        <v>28.705300000000001</v>
      </c>
      <c r="X135" s="33">
        <f>VLOOKUP(V135,'Hazard Weighting Functions'!$B$5:$G$1205,2,FALSE)</f>
        <v>0</v>
      </c>
      <c r="Y135" s="33">
        <f t="shared" si="7"/>
        <v>0</v>
      </c>
      <c r="Z135" s="33">
        <f t="shared" si="9"/>
        <v>0</v>
      </c>
      <c r="AA135" s="33">
        <f>VLOOKUP(V135,'Hazard Weighting Functions'!$B$5:$G$1205,5,FALSE)</f>
        <v>1.1599999999999999E-2</v>
      </c>
      <c r="AB135" s="33">
        <f>AA135*W135</f>
        <v>0.33298148</v>
      </c>
      <c r="AC135" s="33">
        <f>0.5*(V136-V135)*(AB135+AB136)</f>
        <v>2.1182297999999999</v>
      </c>
      <c r="AE135" s="20"/>
      <c r="AF135" s="20"/>
      <c r="AJ135" s="20"/>
      <c r="AO135" s="20"/>
      <c r="AP135" s="20"/>
      <c r="AU135" s="20"/>
      <c r="AV135" s="20"/>
      <c r="AZ135" s="1"/>
      <c r="BA135" s="20"/>
      <c r="BE135" s="20"/>
      <c r="BF135" s="20"/>
    </row>
    <row r="136" spans="2:58">
      <c r="B136" s="33">
        <v>435</v>
      </c>
      <c r="C136" s="36">
        <v>30.541</v>
      </c>
      <c r="N136" s="58"/>
      <c r="O136" s="58"/>
      <c r="V136" s="61">
        <f t="shared" si="5"/>
        <v>435</v>
      </c>
      <c r="W136" s="61">
        <f t="shared" si="6"/>
        <v>30.541</v>
      </c>
      <c r="X136" s="33">
        <f>VLOOKUP(V136,'Hazard Weighting Functions'!$B$5:$G$1205,2,FALSE)</f>
        <v>0</v>
      </c>
      <c r="Y136" s="33">
        <f t="shared" si="7"/>
        <v>0</v>
      </c>
      <c r="Z136" s="33">
        <f t="shared" si="9"/>
        <v>0</v>
      </c>
      <c r="AA136" s="33">
        <f>VLOOKUP(V136,'Hazard Weighting Functions'!$B$5:$G$1205,5,FALSE)</f>
        <v>1.6840000000000001E-2</v>
      </c>
      <c r="AB136" s="33">
        <f>AA136*W136</f>
        <v>0.51431044000000004</v>
      </c>
      <c r="AC136" s="33">
        <f>0.5*(V137-V136)*(AB136+AB137)</f>
        <v>3.1493395999999994</v>
      </c>
      <c r="AE136" s="20"/>
      <c r="AF136" s="20"/>
      <c r="AJ136" s="20"/>
      <c r="AO136" s="20"/>
      <c r="AP136" s="20"/>
      <c r="AU136" s="20"/>
      <c r="AV136" s="20"/>
      <c r="AZ136" s="1"/>
      <c r="BA136" s="20"/>
      <c r="BE136" s="20"/>
      <c r="BF136" s="20"/>
    </row>
    <row r="137" spans="2:58">
      <c r="B137" s="33">
        <v>440</v>
      </c>
      <c r="C137" s="36">
        <v>32.409799999999997</v>
      </c>
      <c r="N137" s="58"/>
      <c r="O137" s="58"/>
      <c r="V137" s="61">
        <f t="shared" si="5"/>
        <v>440</v>
      </c>
      <c r="W137" s="61">
        <f t="shared" si="6"/>
        <v>32.409799999999997</v>
      </c>
      <c r="X137" s="33">
        <f>VLOOKUP(V137,'Hazard Weighting Functions'!$B$5:$G$1205,2,FALSE)</f>
        <v>0</v>
      </c>
      <c r="Y137" s="33">
        <f t="shared" si="7"/>
        <v>0</v>
      </c>
      <c r="Z137" s="33">
        <f t="shared" si="9"/>
        <v>0</v>
      </c>
      <c r="AA137" s="33">
        <f>VLOOKUP(V137,'Hazard Weighting Functions'!$B$5:$G$1205,5,FALSE)</f>
        <v>2.3E-2</v>
      </c>
      <c r="AB137" s="33">
        <f>AA137*W137</f>
        <v>0.7454253999999999</v>
      </c>
      <c r="AC137" s="33">
        <f>0.5*(V138-V137)*(AB137+AB138)</f>
        <v>4.4244563000000001</v>
      </c>
      <c r="AE137" s="20"/>
      <c r="AF137" s="20"/>
      <c r="AJ137" s="20"/>
      <c r="AO137" s="20"/>
      <c r="AP137" s="20"/>
      <c r="AU137" s="20"/>
      <c r="AV137" s="20"/>
      <c r="AZ137" s="1"/>
      <c r="BA137" s="20"/>
      <c r="BE137" s="20"/>
      <c r="BF137" s="20"/>
    </row>
    <row r="138" spans="2:58">
      <c r="B138" s="33">
        <v>445</v>
      </c>
      <c r="C138" s="36">
        <v>34.374400000000001</v>
      </c>
      <c r="N138" s="58"/>
      <c r="O138" s="58"/>
      <c r="V138" s="61">
        <f t="shared" si="5"/>
        <v>445</v>
      </c>
      <c r="W138" s="61">
        <f t="shared" si="6"/>
        <v>34.374400000000001</v>
      </c>
      <c r="X138" s="33">
        <f>VLOOKUP(V138,'Hazard Weighting Functions'!$B$5:$G$1205,2,FALSE)</f>
        <v>0</v>
      </c>
      <c r="Y138" s="33">
        <f t="shared" si="7"/>
        <v>0</v>
      </c>
      <c r="Z138" s="33">
        <f t="shared" si="9"/>
        <v>0</v>
      </c>
      <c r="AA138" s="33">
        <f>VLOOKUP(V138,'Hazard Weighting Functions'!$B$5:$G$1205,5,FALSE)</f>
        <v>2.98E-2</v>
      </c>
      <c r="AB138" s="33">
        <f>AA138*W138</f>
        <v>1.0243571200000001</v>
      </c>
      <c r="AC138" s="33">
        <f>0.5*(V139-V138)*(AB138+AB139)</f>
        <v>6.0128128000000007</v>
      </c>
      <c r="AE138" s="20"/>
      <c r="AF138" s="20"/>
      <c r="AJ138" s="20"/>
      <c r="AO138" s="20"/>
      <c r="AP138" s="20"/>
      <c r="AU138" s="20"/>
      <c r="AV138" s="20"/>
      <c r="AZ138" s="1"/>
      <c r="BA138" s="20"/>
      <c r="BE138" s="20"/>
      <c r="BF138" s="20"/>
    </row>
    <row r="139" spans="2:58">
      <c r="B139" s="33">
        <v>450</v>
      </c>
      <c r="C139" s="36">
        <v>36.335999999999999</v>
      </c>
      <c r="N139" s="58"/>
      <c r="O139" s="58"/>
      <c r="V139" s="61">
        <f t="shared" si="5"/>
        <v>450</v>
      </c>
      <c r="W139" s="61">
        <f t="shared" si="6"/>
        <v>36.335999999999999</v>
      </c>
      <c r="X139" s="33">
        <f>VLOOKUP(V139,'Hazard Weighting Functions'!$B$5:$G$1205,2,FALSE)</f>
        <v>0</v>
      </c>
      <c r="Y139" s="33">
        <f t="shared" si="7"/>
        <v>0</v>
      </c>
      <c r="Z139" s="33">
        <f t="shared" si="9"/>
        <v>0</v>
      </c>
      <c r="AA139" s="33">
        <f>VLOOKUP(V139,'Hazard Weighting Functions'!$B$5:$G$1205,5,FALSE)</f>
        <v>3.7999999999999999E-2</v>
      </c>
      <c r="AB139" s="33">
        <f>AA139*W139</f>
        <v>1.380768</v>
      </c>
      <c r="AC139" s="33">
        <f>0.5*(V140-V139)*(AB139+AB140)</f>
        <v>8.059152000000001</v>
      </c>
      <c r="AE139" s="20"/>
      <c r="AF139" s="20"/>
      <c r="AJ139" s="20"/>
      <c r="AO139" s="20"/>
      <c r="AP139" s="20"/>
      <c r="AU139" s="20"/>
      <c r="AV139" s="20"/>
      <c r="AZ139" s="1"/>
      <c r="BA139" s="20"/>
      <c r="BE139" s="20"/>
      <c r="BF139" s="20"/>
    </row>
    <row r="140" spans="2:58">
      <c r="B140" s="33">
        <v>455</v>
      </c>
      <c r="C140" s="36">
        <v>38.393599999999999</v>
      </c>
      <c r="N140" s="58"/>
      <c r="O140" s="58"/>
      <c r="V140" s="61">
        <f t="shared" si="5"/>
        <v>455</v>
      </c>
      <c r="W140" s="61">
        <f t="shared" si="6"/>
        <v>38.393599999999999</v>
      </c>
      <c r="X140" s="33">
        <f>VLOOKUP(V140,'Hazard Weighting Functions'!$B$5:$G$1205,2,FALSE)</f>
        <v>0</v>
      </c>
      <c r="Y140" s="33">
        <f t="shared" si="7"/>
        <v>0</v>
      </c>
      <c r="Z140" s="33">
        <f t="shared" si="9"/>
        <v>0</v>
      </c>
      <c r="AA140" s="33">
        <f>VLOOKUP(V140,'Hazard Weighting Functions'!$B$5:$G$1205,5,FALSE)</f>
        <v>4.8000000000000001E-2</v>
      </c>
      <c r="AB140" s="33">
        <f>AA140*W140</f>
        <v>1.8428928</v>
      </c>
      <c r="AC140" s="33">
        <f>0.5*(V141-V140)*(AB140+AB141)</f>
        <v>10.690512000000002</v>
      </c>
      <c r="AO140" s="20"/>
      <c r="AP140" s="20"/>
      <c r="AU140" s="20"/>
      <c r="AV140" s="20"/>
      <c r="AZ140" s="1"/>
      <c r="BA140" s="20"/>
      <c r="BE140" s="20"/>
      <c r="BF140" s="20"/>
    </row>
    <row r="141" spans="2:58">
      <c r="B141" s="33">
        <v>460</v>
      </c>
      <c r="C141" s="36">
        <v>40.555199999999999</v>
      </c>
      <c r="N141" s="58"/>
      <c r="O141" s="58"/>
      <c r="V141" s="61">
        <f t="shared" si="5"/>
        <v>460</v>
      </c>
      <c r="W141" s="61">
        <f t="shared" si="6"/>
        <v>40.555199999999999</v>
      </c>
      <c r="X141" s="33">
        <f>VLOOKUP(V141,'Hazard Weighting Functions'!$B$5:$G$1205,2,FALSE)</f>
        <v>0</v>
      </c>
      <c r="Y141" s="33">
        <f t="shared" si="7"/>
        <v>0</v>
      </c>
      <c r="Z141" s="33">
        <f t="shared" si="9"/>
        <v>0</v>
      </c>
      <c r="AA141" s="33">
        <f>VLOOKUP(V141,'Hazard Weighting Functions'!$B$5:$G$1205,5,FALSE)</f>
        <v>0.06</v>
      </c>
      <c r="AB141" s="33">
        <f>AA141*W141</f>
        <v>2.4333119999999999</v>
      </c>
      <c r="AC141" s="33">
        <f>0.5*(V142-V141)*(AB141+AB142)</f>
        <v>13.967356925000001</v>
      </c>
      <c r="AO141" s="20"/>
      <c r="AP141" s="20"/>
      <c r="AU141" s="20"/>
      <c r="AV141" s="20"/>
      <c r="AZ141" s="1"/>
      <c r="BA141" s="20"/>
      <c r="BE141" s="20"/>
      <c r="BF141" s="20"/>
    </row>
    <row r="142" spans="2:58">
      <c r="B142" s="33">
        <v>465</v>
      </c>
      <c r="C142" s="36">
        <v>42.674300000000002</v>
      </c>
      <c r="N142" s="58"/>
      <c r="O142" s="58"/>
      <c r="V142" s="61">
        <f t="shared" si="5"/>
        <v>465</v>
      </c>
      <c r="W142" s="61">
        <f t="shared" si="6"/>
        <v>42.674300000000002</v>
      </c>
      <c r="X142" s="33">
        <f>VLOOKUP(V142,'Hazard Weighting Functions'!$B$5:$G$1205,2,FALSE)</f>
        <v>0</v>
      </c>
      <c r="Y142" s="33">
        <f t="shared" si="7"/>
        <v>0</v>
      </c>
      <c r="Z142" s="33">
        <f t="shared" si="9"/>
        <v>0</v>
      </c>
      <c r="AA142" s="33">
        <f>VLOOKUP(V142,'Hazard Weighting Functions'!$B$5:$G$1205,5,FALSE)</f>
        <v>7.3899999999999993E-2</v>
      </c>
      <c r="AB142" s="33">
        <f>AA142*W142</f>
        <v>3.1536307699999999</v>
      </c>
      <c r="AC142" s="33">
        <f>0.5*(V143-V142)*(AB142+AB143)</f>
        <v>18.087916079999999</v>
      </c>
      <c r="AO142" s="20"/>
      <c r="AP142" s="20"/>
      <c r="AU142" s="20"/>
      <c r="AV142" s="20"/>
      <c r="AZ142" s="1"/>
      <c r="BA142" s="20"/>
      <c r="BE142" s="20"/>
      <c r="BF142" s="20"/>
    </row>
    <row r="143" spans="2:58">
      <c r="B143" s="33">
        <v>470</v>
      </c>
      <c r="C143" s="36">
        <v>44.861899999999999</v>
      </c>
      <c r="N143" s="58"/>
      <c r="O143" s="58"/>
      <c r="V143" s="61">
        <f t="shared" si="5"/>
        <v>470</v>
      </c>
      <c r="W143" s="61">
        <f t="shared" si="6"/>
        <v>44.861899999999999</v>
      </c>
      <c r="X143" s="33">
        <f>VLOOKUP(V143,'Hazard Weighting Functions'!$B$5:$G$1205,2,FALSE)</f>
        <v>0</v>
      </c>
      <c r="Y143" s="33">
        <f t="shared" si="7"/>
        <v>0</v>
      </c>
      <c r="Z143" s="33">
        <f t="shared" si="9"/>
        <v>0</v>
      </c>
      <c r="AA143" s="33">
        <f>VLOOKUP(V143,'Hazard Weighting Functions'!$B$5:$G$1205,5,FALSE)</f>
        <v>9.0980000000000005E-2</v>
      </c>
      <c r="AB143" s="33">
        <f>AA143*W143</f>
        <v>4.0815356620000003</v>
      </c>
      <c r="AC143" s="33">
        <f>0.5*(V144-V143)*(AB143+AB144)</f>
        <v>23.440616605000002</v>
      </c>
      <c r="AO143" s="20"/>
      <c r="AP143" s="20"/>
      <c r="AU143" s="20"/>
      <c r="AV143" s="20"/>
      <c r="AZ143" s="1"/>
      <c r="BA143" s="20"/>
      <c r="BE143" s="20"/>
      <c r="BF143" s="20"/>
    </row>
    <row r="144" spans="2:58">
      <c r="B144" s="33">
        <v>475</v>
      </c>
      <c r="C144" s="36">
        <v>47.022300000000001</v>
      </c>
      <c r="N144" s="58"/>
      <c r="O144" s="58"/>
      <c r="V144" s="61">
        <f t="shared" si="5"/>
        <v>475</v>
      </c>
      <c r="W144" s="61">
        <f t="shared" si="6"/>
        <v>47.022300000000001</v>
      </c>
      <c r="X144" s="33">
        <f>VLOOKUP(V144,'Hazard Weighting Functions'!$B$5:$G$1205,2,FALSE)</f>
        <v>0</v>
      </c>
      <c r="Y144" s="33">
        <f t="shared" si="7"/>
        <v>0</v>
      </c>
      <c r="Z144" s="33">
        <f t="shared" si="9"/>
        <v>0</v>
      </c>
      <c r="AA144" s="33">
        <f>VLOOKUP(V144,'Hazard Weighting Functions'!$B$5:$G$1205,5,FALSE)</f>
        <v>0.11260000000000001</v>
      </c>
      <c r="AB144" s="33">
        <f>AA144*W144</f>
        <v>5.2947109800000005</v>
      </c>
      <c r="AC144" s="33">
        <f>0.5*(V145-V144)*(AB144+AB145)</f>
        <v>30.330363855000002</v>
      </c>
      <c r="AO144" s="20"/>
      <c r="AP144" s="20"/>
      <c r="AU144" s="20"/>
      <c r="AV144" s="20"/>
      <c r="AZ144" s="1"/>
      <c r="BA144" s="20"/>
      <c r="BE144" s="20"/>
      <c r="BF144" s="20"/>
    </row>
    <row r="145" spans="2:58">
      <c r="B145" s="33">
        <v>480</v>
      </c>
      <c r="C145" s="36">
        <v>49.183100000000003</v>
      </c>
      <c r="N145" s="58"/>
      <c r="O145" s="58"/>
      <c r="V145" s="61">
        <f t="shared" si="5"/>
        <v>480</v>
      </c>
      <c r="W145" s="61">
        <f t="shared" si="6"/>
        <v>49.183100000000003</v>
      </c>
      <c r="X145" s="33">
        <f>VLOOKUP(V145,'Hazard Weighting Functions'!$B$5:$G$1205,2,FALSE)</f>
        <v>0</v>
      </c>
      <c r="Y145" s="33">
        <f t="shared" si="7"/>
        <v>0</v>
      </c>
      <c r="Z145" s="33">
        <f t="shared" si="9"/>
        <v>0</v>
      </c>
      <c r="AA145" s="33">
        <f>VLOOKUP(V145,'Hazard Weighting Functions'!$B$5:$G$1205,5,FALSE)</f>
        <v>0.13902</v>
      </c>
      <c r="AB145" s="33">
        <f>AA145*W145</f>
        <v>6.8374345620000003</v>
      </c>
      <c r="AC145" s="33">
        <f>0.5*(V146-V145)*(AB145+AB146)</f>
        <v>38.946534130000003</v>
      </c>
      <c r="AO145" s="20"/>
      <c r="AP145" s="20"/>
      <c r="AU145" s="20"/>
      <c r="AV145" s="20"/>
      <c r="AZ145" s="1"/>
      <c r="BA145" s="20"/>
      <c r="BE145" s="20"/>
      <c r="BF145" s="20"/>
    </row>
    <row r="146" spans="2:58">
      <c r="B146" s="33">
        <v>485</v>
      </c>
      <c r="C146" s="36">
        <v>51.631300000000003</v>
      </c>
      <c r="N146" s="58"/>
      <c r="O146" s="58"/>
      <c r="V146" s="61">
        <f t="shared" si="5"/>
        <v>485</v>
      </c>
      <c r="W146" s="61">
        <f t="shared" si="6"/>
        <v>51.631300000000003</v>
      </c>
      <c r="X146" s="33">
        <f>VLOOKUP(V146,'Hazard Weighting Functions'!$B$5:$G$1205,2,FALSE)</f>
        <v>0</v>
      </c>
      <c r="Y146" s="33">
        <f t="shared" si="7"/>
        <v>0</v>
      </c>
      <c r="Z146" s="33">
        <f t="shared" si="9"/>
        <v>0</v>
      </c>
      <c r="AA146" s="33">
        <f>VLOOKUP(V146,'Hazard Weighting Functions'!$B$5:$G$1205,5,FALSE)</f>
        <v>0.16930000000000001</v>
      </c>
      <c r="AB146" s="33">
        <f>AA146*W146</f>
        <v>8.741179090000001</v>
      </c>
      <c r="AC146" s="33">
        <f>0.5*(V147-V146)*(AB146+AB147)</f>
        <v>49.922438455000005</v>
      </c>
      <c r="AO146" s="20"/>
      <c r="AP146" s="20"/>
      <c r="AU146" s="20"/>
      <c r="AV146" s="20"/>
      <c r="AZ146" s="1"/>
      <c r="BA146" s="20"/>
      <c r="BE146" s="20"/>
      <c r="BF146" s="20"/>
    </row>
    <row r="147" spans="2:58">
      <c r="B147" s="33">
        <v>490</v>
      </c>
      <c r="C147" s="36">
        <v>53.974600000000002</v>
      </c>
      <c r="N147" s="58"/>
      <c r="O147" s="58"/>
      <c r="V147" s="61">
        <f t="shared" si="5"/>
        <v>490</v>
      </c>
      <c r="W147" s="61">
        <f t="shared" si="6"/>
        <v>53.974600000000002</v>
      </c>
      <c r="X147" s="33">
        <f>VLOOKUP(V147,'Hazard Weighting Functions'!$B$5:$G$1205,2,FALSE)</f>
        <v>0</v>
      </c>
      <c r="Y147" s="33">
        <f t="shared" si="7"/>
        <v>0</v>
      </c>
      <c r="Z147" s="33">
        <f t="shared" si="9"/>
        <v>0</v>
      </c>
      <c r="AA147" s="33">
        <f>VLOOKUP(V147,'Hazard Weighting Functions'!$B$5:$G$1205,5,FALSE)</f>
        <v>0.20802000000000001</v>
      </c>
      <c r="AB147" s="33">
        <f>AA147*W147</f>
        <v>11.227796292000001</v>
      </c>
      <c r="AC147" s="33">
        <f>0.5*(V148-V147)*(AB147+AB148)</f>
        <v>64.386304980000006</v>
      </c>
      <c r="AO147" s="20"/>
      <c r="AP147" s="20"/>
      <c r="AU147" s="20"/>
      <c r="AV147" s="20"/>
      <c r="AZ147" s="1"/>
      <c r="BA147" s="20"/>
      <c r="BE147" s="20"/>
      <c r="BF147" s="20"/>
    </row>
    <row r="148" spans="2:58">
      <c r="B148" s="33">
        <v>495</v>
      </c>
      <c r="C148" s="36">
        <v>56.174500000000002</v>
      </c>
      <c r="N148" s="58"/>
      <c r="O148" s="58"/>
      <c r="V148" s="61">
        <f t="shared" si="5"/>
        <v>495</v>
      </c>
      <c r="W148" s="61">
        <f t="shared" si="6"/>
        <v>56.174500000000002</v>
      </c>
      <c r="X148" s="33">
        <f>VLOOKUP(V148,'Hazard Weighting Functions'!$B$5:$G$1205,2,FALSE)</f>
        <v>0</v>
      </c>
      <c r="Y148" s="33">
        <f t="shared" si="7"/>
        <v>0</v>
      </c>
      <c r="Z148" s="33">
        <f t="shared" si="9"/>
        <v>0</v>
      </c>
      <c r="AA148" s="33">
        <f>VLOOKUP(V148,'Hazard Weighting Functions'!$B$5:$G$1205,5,FALSE)</f>
        <v>0.2586</v>
      </c>
      <c r="AB148" s="33">
        <f>AA148*W148</f>
        <v>14.5267257</v>
      </c>
      <c r="AC148" s="33">
        <f>0.5*(V149-V148)*(AB148+AB149)</f>
        <v>83.531904499999996</v>
      </c>
      <c r="AO148" s="20"/>
      <c r="AP148" s="20"/>
      <c r="AU148" s="20"/>
      <c r="AV148" s="20"/>
      <c r="AZ148" s="1"/>
      <c r="BA148" s="20"/>
      <c r="BE148" s="20"/>
      <c r="BF148" s="20"/>
    </row>
    <row r="149" spans="2:58">
      <c r="B149" s="33">
        <v>500</v>
      </c>
      <c r="C149" s="36">
        <v>58.470700000000001</v>
      </c>
      <c r="N149" s="58"/>
      <c r="O149" s="58"/>
      <c r="V149" s="61">
        <f t="shared" si="5"/>
        <v>500</v>
      </c>
      <c r="W149" s="61">
        <f t="shared" si="6"/>
        <v>58.470700000000001</v>
      </c>
      <c r="X149" s="33">
        <f>VLOOKUP(V149,'Hazard Weighting Functions'!$B$5:$G$1205,2,FALSE)</f>
        <v>0</v>
      </c>
      <c r="Y149" s="33">
        <f t="shared" si="7"/>
        <v>0</v>
      </c>
      <c r="Z149" s="33">
        <f t="shared" si="9"/>
        <v>0</v>
      </c>
      <c r="AA149" s="33">
        <f>VLOOKUP(V149,'Hazard Weighting Functions'!$B$5:$G$1205,5,FALSE)</f>
        <v>0.32300000000000001</v>
      </c>
      <c r="AB149" s="33">
        <f>AA149*W149</f>
        <v>18.886036100000002</v>
      </c>
      <c r="AC149" s="33">
        <f>0.5*(V150-V149)*(AB149+AB150)</f>
        <v>109.2030955</v>
      </c>
      <c r="AO149" s="20"/>
      <c r="AP149" s="20"/>
      <c r="AU149" s="20"/>
      <c r="AV149" s="20"/>
      <c r="AZ149" s="1"/>
      <c r="BA149" s="20"/>
      <c r="BE149" s="20"/>
      <c r="BF149" s="20"/>
    </row>
    <row r="150" spans="2:58">
      <c r="B150" s="33">
        <v>505</v>
      </c>
      <c r="C150" s="36">
        <v>60.877000000000002</v>
      </c>
      <c r="N150" s="58"/>
      <c r="O150" s="58"/>
      <c r="V150" s="61">
        <f t="shared" si="5"/>
        <v>505</v>
      </c>
      <c r="W150" s="61">
        <f t="shared" si="6"/>
        <v>60.877000000000002</v>
      </c>
      <c r="X150" s="33">
        <f>VLOOKUP(V150,'Hazard Weighting Functions'!$B$5:$G$1205,2,FALSE)</f>
        <v>0</v>
      </c>
      <c r="Y150" s="33">
        <f t="shared" si="7"/>
        <v>0</v>
      </c>
      <c r="Z150" s="33">
        <f t="shared" si="9"/>
        <v>0</v>
      </c>
      <c r="AA150" s="33">
        <f>VLOOKUP(V150,'Hazard Weighting Functions'!$B$5:$G$1205,5,FALSE)</f>
        <v>0.4073</v>
      </c>
      <c r="AB150" s="33">
        <f>AA150*W150</f>
        <v>24.795202100000001</v>
      </c>
      <c r="AC150" s="33">
        <f>0.5*(V151-V150)*(AB150+AB151)</f>
        <v>141.50689800000001</v>
      </c>
      <c r="AO150" s="20"/>
      <c r="AP150" s="20"/>
      <c r="AU150" s="20"/>
      <c r="AV150" s="20"/>
      <c r="AZ150" s="1"/>
      <c r="BA150" s="20"/>
      <c r="BE150" s="20"/>
      <c r="BF150" s="20"/>
    </row>
    <row r="151" spans="2:58">
      <c r="B151" s="33">
        <v>510</v>
      </c>
      <c r="C151" s="36">
        <v>63.235700000000001</v>
      </c>
      <c r="N151" s="58"/>
      <c r="O151" s="58"/>
      <c r="V151" s="61">
        <f t="shared" si="5"/>
        <v>510</v>
      </c>
      <c r="W151" s="61">
        <f t="shared" si="6"/>
        <v>63.235700000000001</v>
      </c>
      <c r="X151" s="33">
        <f>VLOOKUP(V151,'Hazard Weighting Functions'!$B$5:$G$1205,2,FALSE)</f>
        <v>0</v>
      </c>
      <c r="Y151" s="33">
        <f t="shared" si="7"/>
        <v>0</v>
      </c>
      <c r="Z151" s="33">
        <f t="shared" si="9"/>
        <v>0</v>
      </c>
      <c r="AA151" s="33">
        <f>VLOOKUP(V151,'Hazard Weighting Functions'!$B$5:$G$1205,5,FALSE)</f>
        <v>0.503</v>
      </c>
      <c r="AB151" s="33">
        <f>AA151*W151</f>
        <v>31.8075571</v>
      </c>
      <c r="AC151" s="33">
        <f>0.5*(V152-V151)*(AB151+AB152)</f>
        <v>179.12760799999998</v>
      </c>
      <c r="AO151" s="20"/>
      <c r="AP151" s="20"/>
      <c r="AU151" s="20"/>
      <c r="AV151" s="20"/>
      <c r="AZ151" s="1"/>
      <c r="BA151" s="20"/>
      <c r="BE151" s="20"/>
      <c r="BF151" s="20"/>
    </row>
    <row r="152" spans="2:58">
      <c r="B152" s="33">
        <v>515</v>
      </c>
      <c r="C152" s="36">
        <v>65.510499999999993</v>
      </c>
      <c r="N152" s="58"/>
      <c r="O152" s="58"/>
      <c r="V152" s="61">
        <f t="shared" si="5"/>
        <v>515</v>
      </c>
      <c r="W152" s="61">
        <f t="shared" si="6"/>
        <v>65.510499999999993</v>
      </c>
      <c r="X152" s="33">
        <f>VLOOKUP(V152,'Hazard Weighting Functions'!$B$5:$G$1205,2,FALSE)</f>
        <v>0</v>
      </c>
      <c r="Y152" s="33">
        <f t="shared" si="7"/>
        <v>0</v>
      </c>
      <c r="Z152" s="33">
        <f t="shared" si="9"/>
        <v>0</v>
      </c>
      <c r="AA152" s="33">
        <f>VLOOKUP(V152,'Hazard Weighting Functions'!$B$5:$G$1205,5,FALSE)</f>
        <v>0.60819999999999996</v>
      </c>
      <c r="AB152" s="33">
        <f>AA152*W152</f>
        <v>39.843486099999993</v>
      </c>
      <c r="AC152" s="33">
        <f>0.5*(V153-V152)*(AB152+AB153)</f>
        <v>219.94768024999999</v>
      </c>
      <c r="AO152" s="20"/>
      <c r="AP152" s="20"/>
      <c r="AU152" s="20"/>
      <c r="AV152" s="20"/>
      <c r="AZ152" s="1"/>
      <c r="BA152" s="20"/>
      <c r="BE152" s="20"/>
      <c r="BF152" s="20"/>
    </row>
    <row r="153" spans="2:58">
      <c r="B153" s="33">
        <v>520</v>
      </c>
      <c r="C153" s="36">
        <v>67.796599999999998</v>
      </c>
      <c r="N153" s="58"/>
      <c r="O153" s="58"/>
      <c r="V153" s="61">
        <f t="shared" si="5"/>
        <v>520</v>
      </c>
      <c r="W153" s="61">
        <f t="shared" si="6"/>
        <v>67.796599999999998</v>
      </c>
      <c r="X153" s="33">
        <f>VLOOKUP(V153,'Hazard Weighting Functions'!$B$5:$G$1205,2,FALSE)</f>
        <v>0</v>
      </c>
      <c r="Y153" s="33">
        <f t="shared" si="7"/>
        <v>0</v>
      </c>
      <c r="Z153" s="33">
        <f t="shared" si="9"/>
        <v>0</v>
      </c>
      <c r="AA153" s="33">
        <f>VLOOKUP(V153,'Hazard Weighting Functions'!$B$5:$G$1205,5,FALSE)</f>
        <v>0.71</v>
      </c>
      <c r="AB153" s="33">
        <f>AA153*W153</f>
        <v>48.135585999999996</v>
      </c>
      <c r="AC153" s="33">
        <f>0.5*(V154-V153)*(AB153+AB154)</f>
        <v>259.48349710000002</v>
      </c>
      <c r="AO153" s="20"/>
      <c r="AP153" s="20"/>
      <c r="AU153" s="20"/>
      <c r="AV153" s="20"/>
      <c r="AZ153" s="1"/>
      <c r="BA153" s="20"/>
      <c r="BE153" s="20"/>
      <c r="BF153" s="20"/>
    </row>
    <row r="154" spans="2:58">
      <c r="B154" s="33">
        <v>525</v>
      </c>
      <c r="C154" s="36">
        <v>70.168700000000001</v>
      </c>
      <c r="N154" s="58"/>
      <c r="O154" s="58"/>
      <c r="V154" s="61">
        <f t="shared" si="5"/>
        <v>525</v>
      </c>
      <c r="W154" s="61">
        <f t="shared" si="6"/>
        <v>70.168700000000001</v>
      </c>
      <c r="X154" s="33">
        <f>VLOOKUP(V154,'Hazard Weighting Functions'!$B$5:$G$1205,2,FALSE)</f>
        <v>0</v>
      </c>
      <c r="Y154" s="33">
        <f t="shared" si="7"/>
        <v>0</v>
      </c>
      <c r="Z154" s="33">
        <f t="shared" si="9"/>
        <v>0</v>
      </c>
      <c r="AA154" s="33">
        <f>VLOOKUP(V154,'Hazard Weighting Functions'!$B$5:$G$1205,5,FALSE)</f>
        <v>0.79320000000000002</v>
      </c>
      <c r="AB154" s="33">
        <f>AA154*W154</f>
        <v>55.657812840000005</v>
      </c>
      <c r="AC154" s="33">
        <f>0.5*(V155-V154)*(AB154+AB155)</f>
        <v>295.57037910000003</v>
      </c>
      <c r="AO154" s="20"/>
      <c r="AP154" s="20"/>
      <c r="AU154" s="20"/>
      <c r="AV154" s="20"/>
      <c r="AZ154" s="1"/>
      <c r="BA154" s="20"/>
      <c r="BE154" s="20"/>
      <c r="BF154" s="20"/>
    </row>
    <row r="155" spans="2:58">
      <c r="B155" s="33">
        <v>530</v>
      </c>
      <c r="C155" s="36">
        <v>72.587400000000002</v>
      </c>
      <c r="N155" s="58"/>
      <c r="O155" s="58"/>
      <c r="V155" s="61">
        <f t="shared" si="5"/>
        <v>530</v>
      </c>
      <c r="W155" s="61">
        <f t="shared" si="6"/>
        <v>72.587400000000002</v>
      </c>
      <c r="X155" s="33">
        <f>VLOOKUP(V155,'Hazard Weighting Functions'!$B$5:$G$1205,2,FALSE)</f>
        <v>0</v>
      </c>
      <c r="Y155" s="33">
        <f t="shared" si="7"/>
        <v>0</v>
      </c>
      <c r="Z155" s="33">
        <f t="shared" si="9"/>
        <v>0</v>
      </c>
      <c r="AA155" s="33">
        <f>VLOOKUP(V155,'Hazard Weighting Functions'!$B$5:$G$1205,5,FALSE)</f>
        <v>0.86199999999999999</v>
      </c>
      <c r="AB155" s="33">
        <f>AA155*W155</f>
        <v>62.570338800000002</v>
      </c>
      <c r="AC155" s="33">
        <f>0.5*(V156-V155)*(AB155+AB156)</f>
        <v>327.95862101250003</v>
      </c>
      <c r="AO155" s="20"/>
      <c r="AP155" s="20"/>
      <c r="AU155" s="20"/>
      <c r="AV155" s="20"/>
      <c r="AZ155" s="1"/>
      <c r="BA155" s="20"/>
      <c r="BE155" s="20"/>
      <c r="BF155" s="20"/>
    </row>
    <row r="156" spans="2:58">
      <c r="B156" s="33">
        <v>535</v>
      </c>
      <c r="C156" s="36">
        <v>74.999300000000005</v>
      </c>
      <c r="N156" s="58"/>
      <c r="O156" s="58"/>
      <c r="V156" s="61">
        <f t="shared" si="5"/>
        <v>535</v>
      </c>
      <c r="W156" s="61">
        <f t="shared" si="6"/>
        <v>74.999300000000005</v>
      </c>
      <c r="X156" s="33">
        <f>VLOOKUP(V156,'Hazard Weighting Functions'!$B$5:$G$1205,2,FALSE)</f>
        <v>0</v>
      </c>
      <c r="Y156" s="33">
        <f t="shared" si="7"/>
        <v>0</v>
      </c>
      <c r="Z156" s="33">
        <f t="shared" si="9"/>
        <v>0</v>
      </c>
      <c r="AA156" s="33">
        <f>VLOOKUP(V156,'Hazard Weighting Functions'!$B$5:$G$1205,5,FALSE)</f>
        <v>0.91485000000000005</v>
      </c>
      <c r="AB156" s="33">
        <f>AA156*W156</f>
        <v>68.613109605000005</v>
      </c>
      <c r="AC156" s="33">
        <f>0.5*(V157-V156)*(AB156+AB157)</f>
        <v>355.90352951249997</v>
      </c>
      <c r="AO156" s="20"/>
      <c r="AP156" s="20"/>
      <c r="AU156" s="20"/>
      <c r="AV156" s="20"/>
      <c r="AZ156" s="1"/>
      <c r="BA156" s="20"/>
      <c r="BE156" s="20"/>
      <c r="BF156" s="20"/>
    </row>
    <row r="157" spans="2:58">
      <c r="B157" s="33">
        <v>540</v>
      </c>
      <c r="C157" s="36">
        <v>77.304299999999998</v>
      </c>
      <c r="N157" s="58"/>
      <c r="O157" s="58"/>
      <c r="V157" s="61">
        <f t="shared" si="5"/>
        <v>540</v>
      </c>
      <c r="W157" s="61">
        <f t="shared" si="6"/>
        <v>77.304299999999998</v>
      </c>
      <c r="X157" s="33">
        <f>VLOOKUP(V157,'Hazard Weighting Functions'!$B$5:$G$1205,2,FALSE)</f>
        <v>0</v>
      </c>
      <c r="Y157" s="33">
        <f t="shared" si="7"/>
        <v>0</v>
      </c>
      <c r="Z157" s="33">
        <f t="shared" si="9"/>
        <v>0</v>
      </c>
      <c r="AA157" s="33">
        <f>VLOOKUP(V157,'Hazard Weighting Functions'!$B$5:$G$1205,5,FALSE)</f>
        <v>0.95399999999999996</v>
      </c>
      <c r="AB157" s="33">
        <f>AA157*W157</f>
        <v>73.748302199999998</v>
      </c>
      <c r="AC157" s="33">
        <f>0.5*(V158-V157)*(AB157+AB158)</f>
        <v>379.43820174999996</v>
      </c>
      <c r="AO157" s="20"/>
      <c r="AP157" s="20"/>
      <c r="AU157" s="20"/>
      <c r="AV157" s="20"/>
      <c r="AZ157" s="1"/>
      <c r="BA157" s="20"/>
      <c r="BE157" s="20"/>
      <c r="BF157" s="20"/>
    </row>
    <row r="158" spans="2:58">
      <c r="B158" s="33">
        <v>545</v>
      </c>
      <c r="C158" s="36">
        <v>79.594999999999999</v>
      </c>
      <c r="N158" s="58"/>
      <c r="O158" s="58"/>
      <c r="V158" s="61">
        <f t="shared" ref="V158:V205" si="10">B158</f>
        <v>545</v>
      </c>
      <c r="W158" s="61">
        <f t="shared" ref="W158:W205" si="11">C158</f>
        <v>79.594999999999999</v>
      </c>
      <c r="X158" s="33">
        <f>VLOOKUP(V158,'Hazard Weighting Functions'!$B$5:$G$1205,2,FALSE)</f>
        <v>0</v>
      </c>
      <c r="Y158" s="33">
        <f t="shared" ref="Y158:Y221" si="12">W158*X158</f>
        <v>0</v>
      </c>
      <c r="Z158" s="33">
        <f t="shared" ref="Z158:Z221" si="13">0.5*(V159-V158)*(Y158+Y159)</f>
        <v>0</v>
      </c>
      <c r="AA158" s="33">
        <f>VLOOKUP(V158,'Hazard Weighting Functions'!$B$5:$G$1205,5,FALSE)</f>
        <v>0.98029999999999995</v>
      </c>
      <c r="AB158" s="33">
        <f>AA158*W158</f>
        <v>78.026978499999998</v>
      </c>
      <c r="AC158" s="33">
        <f>0.5*(V159-V158)*(AB158+AB159)</f>
        <v>398.86056737499996</v>
      </c>
      <c r="AO158" s="20"/>
      <c r="AP158" s="20"/>
      <c r="AU158" s="20"/>
      <c r="AV158" s="20"/>
      <c r="AZ158" s="1"/>
      <c r="BA158" s="20"/>
      <c r="BE158" s="20"/>
      <c r="BF158" s="20"/>
    </row>
    <row r="159" spans="2:58">
      <c r="B159" s="33">
        <v>550</v>
      </c>
      <c r="C159" s="36">
        <v>81.930999999999997</v>
      </c>
      <c r="N159" s="58"/>
      <c r="O159" s="58"/>
      <c r="V159" s="61">
        <f t="shared" si="10"/>
        <v>550</v>
      </c>
      <c r="W159" s="61">
        <f t="shared" si="11"/>
        <v>81.930999999999997</v>
      </c>
      <c r="X159" s="33">
        <f>VLOOKUP(V159,'Hazard Weighting Functions'!$B$5:$G$1205,2,FALSE)</f>
        <v>0</v>
      </c>
      <c r="Y159" s="33">
        <f t="shared" si="12"/>
        <v>0</v>
      </c>
      <c r="Z159" s="33">
        <f t="shared" si="13"/>
        <v>0</v>
      </c>
      <c r="AA159" s="33">
        <f>VLOOKUP(V159,'Hazard Weighting Functions'!$B$5:$G$1205,5,FALSE)</f>
        <v>0.99495</v>
      </c>
      <c r="AB159" s="33">
        <f>AA159*W159</f>
        <v>81.517248449999997</v>
      </c>
      <c r="AC159" s="33">
        <f>0.5*(V160-V159)*(AB159+AB160)</f>
        <v>414.86662112499999</v>
      </c>
      <c r="AO159" s="20"/>
      <c r="AP159" s="20"/>
      <c r="AU159" s="20"/>
      <c r="AV159" s="20"/>
      <c r="AZ159" s="1"/>
      <c r="BA159" s="20"/>
      <c r="BE159" s="20"/>
      <c r="BF159" s="20"/>
    </row>
    <row r="160" spans="2:58">
      <c r="B160" s="33">
        <v>555</v>
      </c>
      <c r="C160" s="36">
        <v>84.429400000000001</v>
      </c>
      <c r="N160" s="58"/>
      <c r="O160" s="58"/>
      <c r="V160" s="61">
        <f t="shared" si="10"/>
        <v>555</v>
      </c>
      <c r="W160" s="61">
        <f t="shared" si="11"/>
        <v>84.429400000000001</v>
      </c>
      <c r="X160" s="33">
        <f>VLOOKUP(V160,'Hazard Weighting Functions'!$B$5:$G$1205,2,FALSE)</f>
        <v>0</v>
      </c>
      <c r="Y160" s="33">
        <f t="shared" si="12"/>
        <v>0</v>
      </c>
      <c r="Z160" s="33">
        <f t="shared" si="13"/>
        <v>0</v>
      </c>
      <c r="AA160" s="33">
        <f>VLOOKUP(V160,'Hazard Weighting Functions'!$B$5:$G$1205,5,FALSE)</f>
        <v>1</v>
      </c>
      <c r="AB160" s="33">
        <f>AA160*W160</f>
        <v>84.429400000000001</v>
      </c>
      <c r="AC160" s="33">
        <f>0.5*(V161-V160)*(AB160+AB161)</f>
        <v>426.93700875000002</v>
      </c>
      <c r="AO160" s="20"/>
      <c r="AP160" s="20"/>
      <c r="AU160" s="20"/>
      <c r="AV160" s="20"/>
      <c r="AZ160" s="1"/>
      <c r="BA160" s="20"/>
      <c r="BE160" s="20"/>
      <c r="BF160" s="20"/>
    </row>
    <row r="161" spans="2:58">
      <c r="B161" s="33">
        <v>560</v>
      </c>
      <c r="C161" s="36">
        <v>86.779300000000006</v>
      </c>
      <c r="N161" s="58"/>
      <c r="O161" s="58"/>
      <c r="V161" s="61">
        <f t="shared" si="10"/>
        <v>560</v>
      </c>
      <c r="W161" s="61">
        <f t="shared" si="11"/>
        <v>86.779300000000006</v>
      </c>
      <c r="X161" s="33">
        <f>VLOOKUP(V161,'Hazard Weighting Functions'!$B$5:$G$1205,2,FALSE)</f>
        <v>0</v>
      </c>
      <c r="Y161" s="33">
        <f t="shared" si="12"/>
        <v>0</v>
      </c>
      <c r="Z161" s="33">
        <f t="shared" si="13"/>
        <v>0</v>
      </c>
      <c r="AA161" s="33">
        <f>VLOOKUP(V161,'Hazard Weighting Functions'!$B$5:$G$1205,5,FALSE)</f>
        <v>0.995</v>
      </c>
      <c r="AB161" s="33">
        <f>AA161*W161</f>
        <v>86.345403500000003</v>
      </c>
      <c r="AC161" s="33">
        <f>0.5*(V162-V161)*(AB161+AB162)</f>
        <v>433.38084515000003</v>
      </c>
      <c r="AO161" s="20"/>
      <c r="AP161" s="20"/>
      <c r="AU161" s="20"/>
      <c r="AV161" s="20"/>
      <c r="AZ161" s="1"/>
      <c r="BA161" s="20"/>
      <c r="BE161" s="20"/>
      <c r="BF161" s="20"/>
    </row>
    <row r="162" spans="2:58">
      <c r="B162" s="33">
        <v>565</v>
      </c>
      <c r="C162" s="36">
        <v>88.909599999999998</v>
      </c>
      <c r="N162" s="58"/>
      <c r="O162" s="58"/>
      <c r="V162" s="61">
        <f t="shared" si="10"/>
        <v>565</v>
      </c>
      <c r="W162" s="61">
        <f t="shared" si="11"/>
        <v>88.909599999999998</v>
      </c>
      <c r="X162" s="33">
        <f>VLOOKUP(V162,'Hazard Weighting Functions'!$B$5:$G$1205,2,FALSE)</f>
        <v>0</v>
      </c>
      <c r="Y162" s="33">
        <f t="shared" si="12"/>
        <v>0</v>
      </c>
      <c r="Z162" s="33">
        <f t="shared" si="13"/>
        <v>0</v>
      </c>
      <c r="AA162" s="33">
        <f>VLOOKUP(V162,'Hazard Weighting Functions'!$B$5:$G$1205,5,FALSE)</f>
        <v>0.97860000000000003</v>
      </c>
      <c r="AB162" s="33">
        <f>AA162*W162</f>
        <v>87.006934560000005</v>
      </c>
      <c r="AC162" s="33">
        <f>0.5*(V163-V162)*(AB162+AB163)</f>
        <v>434.60737039999998</v>
      </c>
      <c r="AO162" s="20"/>
      <c r="AP162" s="20"/>
      <c r="AU162" s="20"/>
      <c r="AV162" s="20"/>
      <c r="AZ162" s="1"/>
      <c r="BA162" s="20"/>
      <c r="BE162" s="20"/>
      <c r="BF162" s="20"/>
    </row>
    <row r="163" spans="2:58">
      <c r="B163" s="33">
        <v>570</v>
      </c>
      <c r="C163" s="36">
        <v>91.214299999999994</v>
      </c>
      <c r="N163" s="58"/>
      <c r="O163" s="58"/>
      <c r="V163" s="61">
        <f t="shared" si="10"/>
        <v>570</v>
      </c>
      <c r="W163" s="61">
        <f t="shared" si="11"/>
        <v>91.214299999999994</v>
      </c>
      <c r="X163" s="33">
        <f>VLOOKUP(V163,'Hazard Weighting Functions'!$B$5:$G$1205,2,FALSE)</f>
        <v>0</v>
      </c>
      <c r="Y163" s="33">
        <f t="shared" si="12"/>
        <v>0</v>
      </c>
      <c r="Z163" s="33">
        <f t="shared" si="13"/>
        <v>0</v>
      </c>
      <c r="AA163" s="33">
        <f>VLOOKUP(V163,'Hazard Weighting Functions'!$B$5:$G$1205,5,FALSE)</f>
        <v>0.95199999999999996</v>
      </c>
      <c r="AB163" s="33">
        <f>AA163*W163</f>
        <v>86.836013599999987</v>
      </c>
      <c r="AC163" s="33">
        <f>0.5*(V164-V163)*(AB163+AB164)</f>
        <v>431.36846794999997</v>
      </c>
      <c r="AO163" s="20"/>
      <c r="AP163" s="20"/>
      <c r="AU163" s="20"/>
      <c r="AV163" s="20"/>
      <c r="AZ163" s="1"/>
      <c r="BA163" s="20"/>
      <c r="BE163" s="20"/>
      <c r="BF163" s="20"/>
    </row>
    <row r="164" spans="2:58">
      <c r="B164" s="33">
        <v>575</v>
      </c>
      <c r="C164" s="36">
        <v>93.6327</v>
      </c>
      <c r="N164" s="58"/>
      <c r="O164" s="58"/>
      <c r="V164" s="61">
        <f t="shared" si="10"/>
        <v>575</v>
      </c>
      <c r="W164" s="61">
        <f t="shared" si="11"/>
        <v>93.6327</v>
      </c>
      <c r="X164" s="33">
        <f>VLOOKUP(V164,'Hazard Weighting Functions'!$B$5:$G$1205,2,FALSE)</f>
        <v>0</v>
      </c>
      <c r="Y164" s="33">
        <f t="shared" si="12"/>
        <v>0</v>
      </c>
      <c r="Z164" s="33">
        <f t="shared" si="13"/>
        <v>0</v>
      </c>
      <c r="AA164" s="33">
        <f>VLOOKUP(V164,'Hazard Weighting Functions'!$B$5:$G$1205,5,FALSE)</f>
        <v>0.91539999999999999</v>
      </c>
      <c r="AB164" s="33">
        <f>AA164*W164</f>
        <v>85.71137358</v>
      </c>
      <c r="AC164" s="33">
        <f>0.5*(V165-V164)*(AB164+AB165)</f>
        <v>422.89573394999996</v>
      </c>
      <c r="AU164" s="20"/>
      <c r="AV164" s="20"/>
      <c r="AZ164" s="1"/>
      <c r="BA164" s="20"/>
      <c r="BE164" s="20"/>
      <c r="BF164" s="20"/>
    </row>
    <row r="165" spans="2:58">
      <c r="B165" s="33">
        <v>580</v>
      </c>
      <c r="C165" s="36">
        <v>95.915999999999997</v>
      </c>
      <c r="N165" s="58"/>
      <c r="O165" s="58"/>
      <c r="V165" s="61">
        <f t="shared" si="10"/>
        <v>580</v>
      </c>
      <c r="W165" s="61">
        <f t="shared" si="11"/>
        <v>95.915999999999997</v>
      </c>
      <c r="X165" s="33">
        <f>VLOOKUP(V165,'Hazard Weighting Functions'!$B$5:$G$1205,2,FALSE)</f>
        <v>0</v>
      </c>
      <c r="Y165" s="33">
        <f t="shared" si="12"/>
        <v>0</v>
      </c>
      <c r="Z165" s="33">
        <f t="shared" si="13"/>
        <v>0</v>
      </c>
      <c r="AA165" s="33">
        <f>VLOOKUP(V165,'Hazard Weighting Functions'!$B$5:$G$1205,5,FALSE)</f>
        <v>0.87</v>
      </c>
      <c r="AB165" s="33">
        <f>AA165*W165</f>
        <v>83.446919999999992</v>
      </c>
      <c r="AC165" s="33">
        <f>0.5*(V166-V165)*(AB165+AB166)</f>
        <v>407.89123154999999</v>
      </c>
      <c r="AU165" s="20"/>
      <c r="AV165" s="20"/>
      <c r="AZ165" s="1"/>
      <c r="BA165" s="20"/>
      <c r="BE165" s="20"/>
      <c r="BF165" s="20"/>
    </row>
    <row r="166" spans="2:58">
      <c r="B166" s="33">
        <v>585</v>
      </c>
      <c r="C166" s="36">
        <v>97.647400000000005</v>
      </c>
      <c r="N166" s="58"/>
      <c r="O166" s="58"/>
      <c r="V166" s="61">
        <f t="shared" si="10"/>
        <v>585</v>
      </c>
      <c r="W166" s="61">
        <f t="shared" si="11"/>
        <v>97.647400000000005</v>
      </c>
      <c r="X166" s="33">
        <f>VLOOKUP(V166,'Hazard Weighting Functions'!$B$5:$G$1205,2,FALSE)</f>
        <v>0</v>
      </c>
      <c r="Y166" s="33">
        <f t="shared" si="12"/>
        <v>0</v>
      </c>
      <c r="Z166" s="33">
        <f t="shared" si="13"/>
        <v>0</v>
      </c>
      <c r="AA166" s="33">
        <f>VLOOKUP(V166,'Hazard Weighting Functions'!$B$5:$G$1205,5,FALSE)</f>
        <v>0.81630000000000003</v>
      </c>
      <c r="AB166" s="33">
        <f>AA166*W166</f>
        <v>79.709572620000003</v>
      </c>
      <c r="AC166" s="33">
        <f>0.5*(V167-V166)*(AB166+AB167)</f>
        <v>388.06954230000002</v>
      </c>
      <c r="AU166" s="20"/>
      <c r="AV166" s="20"/>
      <c r="AZ166" s="1"/>
      <c r="BA166" s="20"/>
      <c r="BE166" s="20"/>
      <c r="BF166" s="20"/>
    </row>
    <row r="167" spans="2:58">
      <c r="B167" s="33">
        <v>590</v>
      </c>
      <c r="C167" s="36">
        <v>99.759900000000002</v>
      </c>
      <c r="N167" s="58"/>
      <c r="O167" s="58"/>
      <c r="V167" s="61">
        <f t="shared" si="10"/>
        <v>590</v>
      </c>
      <c r="W167" s="61">
        <f t="shared" si="11"/>
        <v>99.759900000000002</v>
      </c>
      <c r="X167" s="33">
        <f>VLOOKUP(V167,'Hazard Weighting Functions'!$B$5:$G$1205,2,FALSE)</f>
        <v>0</v>
      </c>
      <c r="Y167" s="33">
        <f t="shared" si="12"/>
        <v>0</v>
      </c>
      <c r="Z167" s="33">
        <f t="shared" si="13"/>
        <v>0</v>
      </c>
      <c r="AA167" s="33">
        <f>VLOOKUP(V167,'Hazard Weighting Functions'!$B$5:$G$1205,5,FALSE)</f>
        <v>0.75700000000000001</v>
      </c>
      <c r="AB167" s="33">
        <f>AA167*W167</f>
        <v>75.518244300000006</v>
      </c>
      <c r="AC167" s="33">
        <f>0.5*(V168-V167)*(AB167+AB168)</f>
        <v>366.07502425000007</v>
      </c>
      <c r="AU167" s="20"/>
      <c r="AV167" s="20"/>
      <c r="AZ167" s="1"/>
      <c r="BA167" s="20"/>
      <c r="BE167" s="20"/>
      <c r="BF167" s="20"/>
    </row>
    <row r="168" spans="2:58">
      <c r="B168" s="33">
        <v>595</v>
      </c>
      <c r="C168" s="36">
        <v>102.04600000000001</v>
      </c>
      <c r="N168" s="58"/>
      <c r="O168" s="58"/>
      <c r="V168" s="61">
        <f t="shared" si="10"/>
        <v>595</v>
      </c>
      <c r="W168" s="61">
        <f t="shared" si="11"/>
        <v>102.04600000000001</v>
      </c>
      <c r="X168" s="33">
        <f>VLOOKUP(V168,'Hazard Weighting Functions'!$B$5:$G$1205,2,FALSE)</f>
        <v>0</v>
      </c>
      <c r="Y168" s="33">
        <f t="shared" si="12"/>
        <v>0</v>
      </c>
      <c r="Z168" s="33">
        <f t="shared" si="13"/>
        <v>0</v>
      </c>
      <c r="AA168" s="33">
        <f>VLOOKUP(V168,'Hazard Weighting Functions'!$B$5:$G$1205,5,FALSE)</f>
        <v>0.69489999999999996</v>
      </c>
      <c r="AB168" s="33">
        <f>AA168*W168</f>
        <v>70.911765400000007</v>
      </c>
      <c r="AC168" s="33">
        <f>0.5*(V169-V168)*(AB168+AB169)</f>
        <v>341.77953600000001</v>
      </c>
      <c r="AU168" s="20"/>
      <c r="AV168" s="20"/>
      <c r="AZ168" s="1"/>
      <c r="BA168" s="20"/>
      <c r="BE168" s="20"/>
      <c r="BF168" s="20"/>
    </row>
    <row r="169" spans="2:58">
      <c r="B169" s="33">
        <v>600</v>
      </c>
      <c r="C169" s="36">
        <v>104.279</v>
      </c>
      <c r="N169" s="58"/>
      <c r="O169" s="58"/>
      <c r="V169" s="61">
        <f t="shared" si="10"/>
        <v>600</v>
      </c>
      <c r="W169" s="61">
        <f t="shared" si="11"/>
        <v>104.279</v>
      </c>
      <c r="X169" s="33">
        <f>VLOOKUP(V169,'Hazard Weighting Functions'!$B$5:$G$1205,2,FALSE)</f>
        <v>0</v>
      </c>
      <c r="Y169" s="33">
        <f t="shared" si="12"/>
        <v>0</v>
      </c>
      <c r="Z169" s="33">
        <f t="shared" si="13"/>
        <v>0</v>
      </c>
      <c r="AA169" s="33">
        <f>VLOOKUP(V169,'Hazard Weighting Functions'!$B$5:$G$1205,5,FALSE)</f>
        <v>0.63100000000000001</v>
      </c>
      <c r="AB169" s="33">
        <f>AA169*W169</f>
        <v>65.800049000000001</v>
      </c>
      <c r="AC169" s="33">
        <f>0.5*(V170-V169)*(AB169+AB170)</f>
        <v>315.18531949999999</v>
      </c>
      <c r="AU169" s="20"/>
      <c r="AV169" s="20"/>
      <c r="AZ169" s="1"/>
      <c r="BA169" s="20"/>
      <c r="BE169" s="20"/>
      <c r="BF169" s="20"/>
    </row>
    <row r="170" spans="2:58">
      <c r="B170" s="33">
        <v>605</v>
      </c>
      <c r="C170" s="36">
        <v>106.34099999999999</v>
      </c>
      <c r="N170" s="58"/>
      <c r="O170" s="58"/>
      <c r="V170" s="61">
        <f t="shared" si="10"/>
        <v>605</v>
      </c>
      <c r="W170" s="61">
        <f t="shared" si="11"/>
        <v>106.34099999999999</v>
      </c>
      <c r="X170" s="33">
        <f>VLOOKUP(V170,'Hazard Weighting Functions'!$B$5:$G$1205,2,FALSE)</f>
        <v>0</v>
      </c>
      <c r="Y170" s="33">
        <f t="shared" si="12"/>
        <v>0</v>
      </c>
      <c r="Z170" s="33">
        <f t="shared" si="13"/>
        <v>0</v>
      </c>
      <c r="AA170" s="33">
        <f>VLOOKUP(V170,'Hazard Weighting Functions'!$B$5:$G$1205,5,FALSE)</f>
        <v>0.56679999999999997</v>
      </c>
      <c r="AB170" s="33">
        <f>AA170*W170</f>
        <v>60.274078799999991</v>
      </c>
      <c r="AC170" s="33">
        <f>0.5*(V171-V170)*(AB170+AB171)</f>
        <v>286.85861449999999</v>
      </c>
      <c r="AU170" s="20"/>
      <c r="AV170" s="20"/>
      <c r="AZ170" s="1"/>
      <c r="BA170" s="20"/>
      <c r="BE170" s="20"/>
      <c r="BF170" s="20"/>
    </row>
    <row r="171" spans="2:58">
      <c r="B171" s="33">
        <v>610</v>
      </c>
      <c r="C171" s="36">
        <v>108.289</v>
      </c>
      <c r="N171" s="58"/>
      <c r="O171" s="58"/>
      <c r="V171" s="61">
        <f t="shared" si="10"/>
        <v>610</v>
      </c>
      <c r="W171" s="61">
        <f t="shared" si="11"/>
        <v>108.289</v>
      </c>
      <c r="X171" s="33">
        <f>VLOOKUP(V171,'Hazard Weighting Functions'!$B$5:$G$1205,2,FALSE)</f>
        <v>0</v>
      </c>
      <c r="Y171" s="33">
        <f t="shared" si="12"/>
        <v>0</v>
      </c>
      <c r="Z171" s="33">
        <f t="shared" si="13"/>
        <v>0</v>
      </c>
      <c r="AA171" s="33">
        <f>VLOOKUP(V171,'Hazard Weighting Functions'!$B$5:$G$1205,5,FALSE)</f>
        <v>0.503</v>
      </c>
      <c r="AB171" s="33">
        <f>AA171*W171</f>
        <v>54.469366999999998</v>
      </c>
      <c r="AC171" s="33">
        <f>0.5*(V172-V171)*(AB171+AB172)</f>
        <v>257.91704249999998</v>
      </c>
      <c r="AU171" s="20"/>
      <c r="AV171" s="20"/>
      <c r="AZ171" s="1"/>
      <c r="BA171" s="20"/>
      <c r="BE171" s="20"/>
      <c r="BF171" s="20"/>
    </row>
    <row r="172" spans="2:58">
      <c r="B172" s="33">
        <v>615</v>
      </c>
      <c r="C172" s="36">
        <v>110.375</v>
      </c>
      <c r="N172" s="58"/>
      <c r="O172" s="58"/>
      <c r="V172" s="61">
        <f t="shared" si="10"/>
        <v>615</v>
      </c>
      <c r="W172" s="61">
        <f t="shared" si="11"/>
        <v>110.375</v>
      </c>
      <c r="X172" s="33">
        <f>VLOOKUP(V172,'Hazard Weighting Functions'!$B$5:$G$1205,2,FALSE)</f>
        <v>0</v>
      </c>
      <c r="Y172" s="33">
        <f t="shared" si="12"/>
        <v>0</v>
      </c>
      <c r="Z172" s="33">
        <f t="shared" si="13"/>
        <v>0</v>
      </c>
      <c r="AA172" s="33">
        <f>VLOOKUP(V172,'Hazard Weighting Functions'!$B$5:$G$1205,5,FALSE)</f>
        <v>0.44119999999999998</v>
      </c>
      <c r="AB172" s="33">
        <f>AA172*W172</f>
        <v>48.697449999999996</v>
      </c>
      <c r="AC172" s="33">
        <f>0.5*(V173-V172)*(AB172+AB173)</f>
        <v>228.70651750000002</v>
      </c>
      <c r="AU172" s="20"/>
      <c r="AV172" s="20"/>
      <c r="AZ172" s="1"/>
      <c r="BA172" s="20"/>
      <c r="BE172" s="20"/>
      <c r="BF172" s="20"/>
    </row>
    <row r="173" spans="2:58">
      <c r="B173" s="33">
        <v>620</v>
      </c>
      <c r="C173" s="36">
        <v>112.297</v>
      </c>
      <c r="N173" s="58"/>
      <c r="O173" s="58"/>
      <c r="V173" s="61">
        <f t="shared" si="10"/>
        <v>620</v>
      </c>
      <c r="W173" s="61">
        <f t="shared" si="11"/>
        <v>112.297</v>
      </c>
      <c r="X173" s="33">
        <f>VLOOKUP(V173,'Hazard Weighting Functions'!$B$5:$G$1205,2,FALSE)</f>
        <v>0</v>
      </c>
      <c r="Y173" s="33">
        <f t="shared" si="12"/>
        <v>0</v>
      </c>
      <c r="Z173" s="33">
        <f t="shared" si="13"/>
        <v>0</v>
      </c>
      <c r="AA173" s="33">
        <f>VLOOKUP(V173,'Hazard Weighting Functions'!$B$5:$G$1205,5,FALSE)</f>
        <v>0.38100000000000001</v>
      </c>
      <c r="AB173" s="33">
        <f>AA173*W173</f>
        <v>42.785156999999998</v>
      </c>
      <c r="AC173" s="33">
        <f>0.5*(V174-V173)*(AB173+AB174)</f>
        <v>198.63246750000002</v>
      </c>
      <c r="AU173" s="20"/>
      <c r="AV173" s="20"/>
      <c r="AZ173" s="1"/>
      <c r="BA173" s="20"/>
      <c r="BE173" s="20"/>
      <c r="BF173" s="20"/>
    </row>
    <row r="174" spans="2:58">
      <c r="B174" s="33">
        <v>625</v>
      </c>
      <c r="C174" s="36">
        <v>114.23</v>
      </c>
      <c r="N174" s="58"/>
      <c r="O174" s="58"/>
      <c r="V174" s="61">
        <f t="shared" si="10"/>
        <v>625</v>
      </c>
      <c r="W174" s="61">
        <f t="shared" si="11"/>
        <v>114.23</v>
      </c>
      <c r="X174" s="33">
        <f>VLOOKUP(V174,'Hazard Weighting Functions'!$B$5:$G$1205,2,FALSE)</f>
        <v>0</v>
      </c>
      <c r="Y174" s="33">
        <f t="shared" si="12"/>
        <v>0</v>
      </c>
      <c r="Z174" s="33">
        <f t="shared" si="13"/>
        <v>0</v>
      </c>
      <c r="AA174" s="33">
        <f>VLOOKUP(V174,'Hazard Weighting Functions'!$B$5:$G$1205,5,FALSE)</f>
        <v>0.32100000000000001</v>
      </c>
      <c r="AB174" s="33">
        <f>AA174*W174</f>
        <v>36.667830000000002</v>
      </c>
      <c r="AC174" s="33">
        <f>0.5*(V175-V174)*(AB174+AB175)</f>
        <v>168.62027499999999</v>
      </c>
      <c r="AU174" s="20"/>
      <c r="AV174" s="20"/>
      <c r="AZ174" s="1"/>
      <c r="BA174" s="20"/>
      <c r="BE174" s="20"/>
      <c r="BF174" s="20"/>
    </row>
    <row r="175" spans="2:58">
      <c r="B175" s="33">
        <v>630</v>
      </c>
      <c r="C175" s="36">
        <v>116.152</v>
      </c>
      <c r="N175" s="58"/>
      <c r="O175" s="58"/>
      <c r="V175" s="61">
        <f t="shared" si="10"/>
        <v>630</v>
      </c>
      <c r="W175" s="61">
        <f t="shared" si="11"/>
        <v>116.152</v>
      </c>
      <c r="X175" s="33">
        <f>VLOOKUP(V175,'Hazard Weighting Functions'!$B$5:$G$1205,2,FALSE)</f>
        <v>0</v>
      </c>
      <c r="Y175" s="33">
        <f t="shared" si="12"/>
        <v>0</v>
      </c>
      <c r="Z175" s="33">
        <f t="shared" si="13"/>
        <v>0</v>
      </c>
      <c r="AA175" s="33">
        <f>VLOOKUP(V175,'Hazard Weighting Functions'!$B$5:$G$1205,5,FALSE)</f>
        <v>0.26500000000000001</v>
      </c>
      <c r="AB175" s="33">
        <f>AA175*W175</f>
        <v>30.780280000000001</v>
      </c>
      <c r="AC175" s="33">
        <f>0.5*(V176-V175)*(AB175+AB176)</f>
        <v>140.94996750000001</v>
      </c>
      <c r="AU175" s="20"/>
      <c r="AV175" s="20"/>
      <c r="AZ175" s="1"/>
      <c r="BA175" s="20"/>
      <c r="BE175" s="20"/>
      <c r="BF175" s="20"/>
    </row>
    <row r="176" spans="2:58">
      <c r="B176" s="33">
        <v>635</v>
      </c>
      <c r="C176" s="36">
        <v>117.971</v>
      </c>
      <c r="N176" s="58"/>
      <c r="O176" s="58"/>
      <c r="V176" s="61">
        <f t="shared" si="10"/>
        <v>635</v>
      </c>
      <c r="W176" s="61">
        <f t="shared" si="11"/>
        <v>117.971</v>
      </c>
      <c r="X176" s="33">
        <f>VLOOKUP(V176,'Hazard Weighting Functions'!$B$5:$G$1205,2,FALSE)</f>
        <v>0</v>
      </c>
      <c r="Y176" s="33">
        <f t="shared" si="12"/>
        <v>0</v>
      </c>
      <c r="Z176" s="33">
        <f t="shared" si="13"/>
        <v>0</v>
      </c>
      <c r="AA176" s="33">
        <f>VLOOKUP(V176,'Hazard Weighting Functions'!$B$5:$G$1205,5,FALSE)</f>
        <v>0.217</v>
      </c>
      <c r="AB176" s="33">
        <f>AA176*W176</f>
        <v>25.599707000000002</v>
      </c>
      <c r="AC176" s="33">
        <f>0.5*(V177-V176)*(AB176+AB177)</f>
        <v>116.4327675</v>
      </c>
      <c r="AU176" s="20"/>
      <c r="AV176" s="20"/>
      <c r="AZ176" s="1"/>
      <c r="BA176" s="20"/>
      <c r="BE176" s="20"/>
      <c r="BF176" s="20"/>
    </row>
    <row r="177" spans="2:58">
      <c r="B177" s="33">
        <v>640</v>
      </c>
      <c r="C177" s="36">
        <v>119.848</v>
      </c>
      <c r="N177" s="58"/>
      <c r="O177" s="58"/>
      <c r="V177" s="61">
        <f t="shared" si="10"/>
        <v>640</v>
      </c>
      <c r="W177" s="61">
        <f t="shared" si="11"/>
        <v>119.848</v>
      </c>
      <c r="X177" s="33">
        <f>VLOOKUP(V177,'Hazard Weighting Functions'!$B$5:$G$1205,2,FALSE)</f>
        <v>0</v>
      </c>
      <c r="Y177" s="33">
        <f t="shared" si="12"/>
        <v>0</v>
      </c>
      <c r="Z177" s="33">
        <f t="shared" si="13"/>
        <v>0</v>
      </c>
      <c r="AA177" s="33">
        <f>VLOOKUP(V177,'Hazard Weighting Functions'!$B$5:$G$1205,5,FALSE)</f>
        <v>0.17499999999999999</v>
      </c>
      <c r="AB177" s="33">
        <f>AA177*W177</f>
        <v>20.973399999999998</v>
      </c>
      <c r="AC177" s="33">
        <f>0.5*(V178-V177)*(AB177+AB178)</f>
        <v>94.510908499999999</v>
      </c>
      <c r="AU177" s="20"/>
      <c r="AV177" s="20"/>
      <c r="AZ177" s="1"/>
      <c r="BA177" s="20"/>
      <c r="BE177" s="20"/>
      <c r="BF177" s="20"/>
    </row>
    <row r="178" spans="2:58">
      <c r="B178" s="33">
        <v>645</v>
      </c>
      <c r="C178" s="36">
        <v>121.78700000000001</v>
      </c>
      <c r="N178" s="58"/>
      <c r="O178" s="58"/>
      <c r="V178" s="61">
        <f t="shared" si="10"/>
        <v>645</v>
      </c>
      <c r="W178" s="61">
        <f t="shared" si="11"/>
        <v>121.78700000000001</v>
      </c>
      <c r="X178" s="33">
        <f>VLOOKUP(V178,'Hazard Weighting Functions'!$B$5:$G$1205,2,FALSE)</f>
        <v>0</v>
      </c>
      <c r="Y178" s="33">
        <f t="shared" si="12"/>
        <v>0</v>
      </c>
      <c r="Z178" s="33">
        <f t="shared" si="13"/>
        <v>0</v>
      </c>
      <c r="AA178" s="33">
        <f>VLOOKUP(V178,'Hazard Weighting Functions'!$B$5:$G$1205,5,FALSE)</f>
        <v>0.13819999999999999</v>
      </c>
      <c r="AB178" s="33">
        <f>AA178*W178</f>
        <v>16.830963399999998</v>
      </c>
      <c r="AC178" s="33">
        <f>0.5*(V179-V178)*(AB178+AB179)</f>
        <v>75.134255999999993</v>
      </c>
      <c r="AU178" s="20"/>
      <c r="AV178" s="20"/>
      <c r="AZ178" s="1"/>
      <c r="BA178" s="20"/>
      <c r="BE178" s="20"/>
      <c r="BF178" s="20"/>
    </row>
    <row r="179" spans="2:58">
      <c r="B179" s="33">
        <v>650</v>
      </c>
      <c r="C179" s="36">
        <v>123.577</v>
      </c>
      <c r="N179" s="58"/>
      <c r="O179" s="58"/>
      <c r="V179" s="61">
        <f t="shared" si="10"/>
        <v>650</v>
      </c>
      <c r="W179" s="61">
        <f t="shared" si="11"/>
        <v>123.577</v>
      </c>
      <c r="X179" s="33">
        <f>VLOOKUP(V179,'Hazard Weighting Functions'!$B$5:$G$1205,2,FALSE)</f>
        <v>0</v>
      </c>
      <c r="Y179" s="33">
        <f t="shared" si="12"/>
        <v>0</v>
      </c>
      <c r="Z179" s="33">
        <f t="shared" si="13"/>
        <v>0</v>
      </c>
      <c r="AA179" s="33">
        <f>VLOOKUP(V179,'Hazard Weighting Functions'!$B$5:$G$1205,5,FALSE)</f>
        <v>0.107</v>
      </c>
      <c r="AB179" s="33">
        <f>AA179*W179</f>
        <v>13.222738999999999</v>
      </c>
      <c r="AC179" s="33">
        <f>0.5*(V180-V179)*(AB179+AB180)</f>
        <v>58.630287499999994</v>
      </c>
      <c r="AU179" s="20"/>
      <c r="AV179" s="20"/>
      <c r="AZ179" s="1"/>
      <c r="BA179" s="20"/>
      <c r="BE179" s="20"/>
      <c r="BF179" s="20"/>
    </row>
    <row r="180" spans="2:58">
      <c r="B180" s="33">
        <v>655</v>
      </c>
      <c r="C180" s="36">
        <v>125.36</v>
      </c>
      <c r="N180" s="58"/>
      <c r="O180" s="58"/>
      <c r="V180" s="61">
        <f t="shared" si="10"/>
        <v>655</v>
      </c>
      <c r="W180" s="61">
        <f t="shared" si="11"/>
        <v>125.36</v>
      </c>
      <c r="X180" s="33">
        <f>VLOOKUP(V180,'Hazard Weighting Functions'!$B$5:$G$1205,2,FALSE)</f>
        <v>0</v>
      </c>
      <c r="Y180" s="33">
        <f t="shared" si="12"/>
        <v>0</v>
      </c>
      <c r="Z180" s="33">
        <f t="shared" si="13"/>
        <v>0</v>
      </c>
      <c r="AA180" s="33">
        <f>VLOOKUP(V180,'Hazard Weighting Functions'!$B$5:$G$1205,5,FALSE)</f>
        <v>8.1600000000000006E-2</v>
      </c>
      <c r="AB180" s="33">
        <f>AA180*W180</f>
        <v>10.229376</v>
      </c>
      <c r="AC180" s="33">
        <f>0.5*(V181-V180)*(AB180+AB181)</f>
        <v>44.940025000000006</v>
      </c>
      <c r="AU180" s="1"/>
      <c r="AV180" s="1"/>
      <c r="AZ180" s="1"/>
      <c r="BA180" s="20"/>
      <c r="BE180" s="20"/>
      <c r="BF180" s="20"/>
    </row>
    <row r="181" spans="2:58">
      <c r="B181" s="33">
        <v>660</v>
      </c>
      <c r="C181" s="36">
        <v>126.994</v>
      </c>
      <c r="N181" s="58"/>
      <c r="O181" s="58"/>
      <c r="V181" s="61">
        <f t="shared" si="10"/>
        <v>660</v>
      </c>
      <c r="W181" s="61">
        <f t="shared" si="11"/>
        <v>126.994</v>
      </c>
      <c r="X181" s="33">
        <f>VLOOKUP(V181,'Hazard Weighting Functions'!$B$5:$G$1205,2,FALSE)</f>
        <v>0</v>
      </c>
      <c r="Y181" s="33">
        <f t="shared" si="12"/>
        <v>0</v>
      </c>
      <c r="Z181" s="33">
        <f t="shared" si="13"/>
        <v>0</v>
      </c>
      <c r="AA181" s="33">
        <f>VLOOKUP(V181,'Hazard Weighting Functions'!$B$5:$G$1205,5,FALSE)</f>
        <v>6.0999999999999999E-2</v>
      </c>
      <c r="AB181" s="33">
        <f>AA181*W181</f>
        <v>7.7466340000000002</v>
      </c>
      <c r="AC181" s="33">
        <f>0.5*(V182-V181)*(AB181+AB182)</f>
        <v>33.70964275</v>
      </c>
      <c r="AU181" s="1"/>
      <c r="AV181" s="1"/>
      <c r="AZ181" s="1"/>
      <c r="BA181" s="20"/>
      <c r="BE181" s="20"/>
      <c r="BF181" s="20"/>
    </row>
    <row r="182" spans="2:58">
      <c r="B182" s="33">
        <v>665</v>
      </c>
      <c r="C182" s="36">
        <v>128.69499999999999</v>
      </c>
      <c r="N182" s="58"/>
      <c r="O182" s="58"/>
      <c r="V182" s="61">
        <f t="shared" si="10"/>
        <v>665</v>
      </c>
      <c r="W182" s="61">
        <f t="shared" si="11"/>
        <v>128.69499999999999</v>
      </c>
      <c r="X182" s="33">
        <f>VLOOKUP(V182,'Hazard Weighting Functions'!$B$5:$G$1205,2,FALSE)</f>
        <v>0</v>
      </c>
      <c r="Y182" s="33">
        <f t="shared" si="12"/>
        <v>0</v>
      </c>
      <c r="Z182" s="33">
        <f t="shared" si="13"/>
        <v>0</v>
      </c>
      <c r="AA182" s="33">
        <f>VLOOKUP(V182,'Hazard Weighting Functions'!$B$5:$G$1205,5,FALSE)</f>
        <v>4.4580000000000002E-2</v>
      </c>
      <c r="AB182" s="33">
        <f>AA182*W182</f>
        <v>5.7372230999999996</v>
      </c>
      <c r="AC182" s="33">
        <f>0.5*(V183-V182)*(AB182+AB183)</f>
        <v>24.770497749999997</v>
      </c>
      <c r="AU182" s="1"/>
      <c r="AV182" s="1"/>
      <c r="AZ182" s="1"/>
      <c r="BA182" s="20"/>
      <c r="BE182" s="20"/>
      <c r="BF182" s="20"/>
    </row>
    <row r="183" spans="2:58">
      <c r="B183" s="33">
        <v>670</v>
      </c>
      <c r="C183" s="36">
        <v>130.34299999999999</v>
      </c>
      <c r="N183" s="58"/>
      <c r="O183" s="58"/>
      <c r="V183" s="61">
        <f t="shared" si="10"/>
        <v>670</v>
      </c>
      <c r="W183" s="61">
        <f t="shared" si="11"/>
        <v>130.34299999999999</v>
      </c>
      <c r="X183" s="33">
        <f>VLOOKUP(V183,'Hazard Weighting Functions'!$B$5:$G$1205,2,FALSE)</f>
        <v>0</v>
      </c>
      <c r="Y183" s="33">
        <f t="shared" si="12"/>
        <v>0</v>
      </c>
      <c r="Z183" s="33">
        <f t="shared" si="13"/>
        <v>0</v>
      </c>
      <c r="AA183" s="33">
        <f>VLOOKUP(V183,'Hazard Weighting Functions'!$B$5:$G$1205,5,FALSE)</f>
        <v>3.2000000000000001E-2</v>
      </c>
      <c r="AB183" s="33">
        <f>AA183*W183</f>
        <v>4.1709759999999996</v>
      </c>
      <c r="AC183" s="33">
        <f>0.5*(V184-V183)*(AB183+AB184)</f>
        <v>18.08634</v>
      </c>
      <c r="AU183" s="1"/>
      <c r="AV183" s="1"/>
      <c r="AZ183" s="1"/>
      <c r="BA183" s="20"/>
      <c r="BE183" s="20"/>
      <c r="BF183" s="20"/>
    </row>
    <row r="184" spans="2:58">
      <c r="B184" s="33">
        <v>675</v>
      </c>
      <c r="C184" s="36">
        <v>132.05000000000001</v>
      </c>
      <c r="N184" s="58"/>
      <c r="O184" s="58"/>
      <c r="V184" s="61">
        <f t="shared" si="10"/>
        <v>675</v>
      </c>
      <c r="W184" s="61">
        <f t="shared" si="11"/>
        <v>132.05000000000001</v>
      </c>
      <c r="X184" s="33">
        <f>VLOOKUP(V184,'Hazard Weighting Functions'!$B$5:$G$1205,2,FALSE)</f>
        <v>0</v>
      </c>
      <c r="Y184" s="33">
        <f t="shared" si="12"/>
        <v>0</v>
      </c>
      <c r="Z184" s="33">
        <f t="shared" si="13"/>
        <v>0</v>
      </c>
      <c r="AA184" s="33">
        <f>VLOOKUP(V184,'Hazard Weighting Functions'!$B$5:$G$1205,5,FALSE)</f>
        <v>2.3199999999999998E-2</v>
      </c>
      <c r="AB184" s="33">
        <f>AA184*W184</f>
        <v>3.0635599999999998</v>
      </c>
      <c r="AC184" s="33">
        <f>0.5*(V185-V184)*(AB184+AB185)</f>
        <v>13.3316725</v>
      </c>
      <c r="AU184" s="1"/>
      <c r="AV184" s="1"/>
      <c r="AZ184" s="1"/>
      <c r="BA184" s="20"/>
      <c r="BE184" s="20"/>
      <c r="BF184" s="20"/>
    </row>
    <row r="185" spans="2:58">
      <c r="B185" s="33">
        <v>680</v>
      </c>
      <c r="C185" s="36">
        <v>133.477</v>
      </c>
      <c r="N185" s="58"/>
      <c r="O185" s="58"/>
      <c r="V185" s="61">
        <f t="shared" si="10"/>
        <v>680</v>
      </c>
      <c r="W185" s="61">
        <f t="shared" si="11"/>
        <v>133.477</v>
      </c>
      <c r="X185" s="33">
        <f>VLOOKUP(V185,'Hazard Weighting Functions'!$B$5:$G$1205,2,FALSE)</f>
        <v>0</v>
      </c>
      <c r="Y185" s="33">
        <f t="shared" si="12"/>
        <v>0</v>
      </c>
      <c r="Z185" s="33">
        <f t="shared" si="13"/>
        <v>0</v>
      </c>
      <c r="AA185" s="33">
        <f>VLOOKUP(V185,'Hazard Weighting Functions'!$B$5:$G$1205,5,FALSE)</f>
        <v>1.7000000000000001E-2</v>
      </c>
      <c r="AB185" s="33">
        <f>AA185*W185</f>
        <v>2.2691090000000003</v>
      </c>
      <c r="AC185" s="33">
        <f>0.5*(V186-V185)*(AB185+AB186)</f>
        <v>9.6909150999999998</v>
      </c>
      <c r="AU185" s="1"/>
      <c r="AV185" s="1"/>
      <c r="AZ185" s="1"/>
      <c r="BA185" s="20"/>
      <c r="BE185" s="20"/>
      <c r="BF185" s="20"/>
    </row>
    <row r="186" spans="2:58">
      <c r="B186" s="33">
        <v>685</v>
      </c>
      <c r="C186" s="36">
        <v>134.83699999999999</v>
      </c>
      <c r="N186" s="58"/>
      <c r="O186" s="58"/>
      <c r="V186" s="61">
        <f t="shared" si="10"/>
        <v>685</v>
      </c>
      <c r="W186" s="61">
        <f t="shared" si="11"/>
        <v>134.83699999999999</v>
      </c>
      <c r="X186" s="33">
        <f>VLOOKUP(V186,'Hazard Weighting Functions'!$B$5:$G$1205,2,FALSE)</f>
        <v>0</v>
      </c>
      <c r="Y186" s="33">
        <f t="shared" si="12"/>
        <v>0</v>
      </c>
      <c r="Z186" s="33">
        <f t="shared" si="13"/>
        <v>0</v>
      </c>
      <c r="AA186" s="33">
        <f>VLOOKUP(V186,'Hazard Weighting Functions'!$B$5:$G$1205,5,FALSE)</f>
        <v>1.192E-2</v>
      </c>
      <c r="AB186" s="33">
        <f>AA186*W186</f>
        <v>1.6072570399999999</v>
      </c>
      <c r="AC186" s="33">
        <f>0.5*(V187-V186)*(AB186+AB187)</f>
        <v>6.8139759999999994</v>
      </c>
      <c r="AU186" s="1"/>
      <c r="AV186" s="1"/>
      <c r="AZ186" s="1"/>
      <c r="BA186" s="20"/>
      <c r="BE186" s="20"/>
      <c r="BF186" s="20"/>
    </row>
    <row r="187" spans="2:58">
      <c r="B187" s="33">
        <v>690</v>
      </c>
      <c r="C187" s="36">
        <v>136.21600000000001</v>
      </c>
      <c r="N187" s="58"/>
      <c r="O187" s="58"/>
      <c r="V187" s="61">
        <f t="shared" si="10"/>
        <v>690</v>
      </c>
      <c r="W187" s="61">
        <f t="shared" si="11"/>
        <v>136.21600000000001</v>
      </c>
      <c r="X187" s="33">
        <f>VLOOKUP(V187,'Hazard Weighting Functions'!$B$5:$G$1205,2,FALSE)</f>
        <v>0</v>
      </c>
      <c r="Y187" s="33">
        <f t="shared" si="12"/>
        <v>0</v>
      </c>
      <c r="Z187" s="33">
        <f t="shared" si="13"/>
        <v>0</v>
      </c>
      <c r="AA187" s="33">
        <f>VLOOKUP(V187,'Hazard Weighting Functions'!$B$5:$G$1205,5,FALSE)</f>
        <v>8.2100000000000003E-3</v>
      </c>
      <c r="AB187" s="33">
        <f>AA187*W187</f>
        <v>1.1183333600000001</v>
      </c>
      <c r="AC187" s="33">
        <f>0.5*(V188-V187)*(AB187+AB188)</f>
        <v>4.7649603174999999</v>
      </c>
      <c r="AU187" s="1"/>
      <c r="AV187" s="1"/>
      <c r="AZ187" s="1"/>
      <c r="BA187" s="20"/>
      <c r="BE187" s="20"/>
      <c r="BF187" s="20"/>
    </row>
    <row r="188" spans="2:58">
      <c r="B188" s="33">
        <v>695</v>
      </c>
      <c r="C188" s="36">
        <v>137.62899999999999</v>
      </c>
      <c r="N188" s="58"/>
      <c r="O188" s="58"/>
      <c r="V188" s="61">
        <f t="shared" si="10"/>
        <v>695</v>
      </c>
      <c r="W188" s="61">
        <f t="shared" si="11"/>
        <v>137.62899999999999</v>
      </c>
      <c r="X188" s="33">
        <f>VLOOKUP(V188,'Hazard Weighting Functions'!$B$5:$G$1205,2,FALSE)</f>
        <v>0</v>
      </c>
      <c r="Y188" s="33">
        <f t="shared" si="12"/>
        <v>0</v>
      </c>
      <c r="Z188" s="33">
        <f t="shared" si="13"/>
        <v>0</v>
      </c>
      <c r="AA188" s="33">
        <f>VLOOKUP(V188,'Hazard Weighting Functions'!$B$5:$G$1205,5,FALSE)</f>
        <v>5.7229999999999998E-3</v>
      </c>
      <c r="AB188" s="33">
        <f>AA188*W188</f>
        <v>0.78765076699999992</v>
      </c>
      <c r="AC188" s="33">
        <f>0.5*(V189-V188)*(AB188+AB189)</f>
        <v>3.3946539575000001</v>
      </c>
      <c r="AU188" s="1"/>
      <c r="AV188" s="1"/>
      <c r="AZ188" s="1"/>
      <c r="BA188" s="20"/>
      <c r="BE188" s="20"/>
      <c r="BF188" s="20"/>
    </row>
    <row r="189" spans="2:58">
      <c r="B189" s="33">
        <v>700</v>
      </c>
      <c r="C189" s="36">
        <v>139.00800000000001</v>
      </c>
      <c r="N189" s="58"/>
      <c r="O189" s="58"/>
      <c r="V189" s="61">
        <f t="shared" si="10"/>
        <v>700</v>
      </c>
      <c r="W189" s="61">
        <f t="shared" si="11"/>
        <v>139.00800000000001</v>
      </c>
      <c r="X189" s="33">
        <f>VLOOKUP(V189,'Hazard Weighting Functions'!$B$5:$G$1205,2,FALSE)</f>
        <v>0</v>
      </c>
      <c r="Y189" s="33">
        <f t="shared" si="12"/>
        <v>0</v>
      </c>
      <c r="Z189" s="33">
        <f t="shared" si="13"/>
        <v>0</v>
      </c>
      <c r="AA189" s="33">
        <f>VLOOKUP(V189,'Hazard Weighting Functions'!$B$5:$G$1205,5,FALSE)</f>
        <v>4.1019999999999997E-3</v>
      </c>
      <c r="AB189" s="33">
        <f>AA189*W189</f>
        <v>0.57021081600000001</v>
      </c>
      <c r="AC189" s="33">
        <f>0.5*(V190-V189)*(AB189+AB190)</f>
        <v>2.4526175024999999</v>
      </c>
      <c r="AU189" s="1"/>
      <c r="AV189" s="1"/>
      <c r="AZ189" s="1"/>
      <c r="BA189" s="20"/>
      <c r="BE189" s="20"/>
      <c r="BF189" s="20"/>
    </row>
    <row r="190" spans="2:58">
      <c r="B190" s="33">
        <v>705</v>
      </c>
      <c r="C190" s="36">
        <v>140.26499999999999</v>
      </c>
      <c r="N190" s="58"/>
      <c r="O190" s="58"/>
      <c r="V190" s="61">
        <f t="shared" si="10"/>
        <v>705</v>
      </c>
      <c r="W190" s="61">
        <f t="shared" si="11"/>
        <v>140.26499999999999</v>
      </c>
      <c r="X190" s="33">
        <f>VLOOKUP(V190,'Hazard Weighting Functions'!$B$5:$G$1205,2,FALSE)</f>
        <v>0</v>
      </c>
      <c r="Y190" s="33">
        <f t="shared" si="12"/>
        <v>0</v>
      </c>
      <c r="Z190" s="33">
        <f t="shared" si="13"/>
        <v>0</v>
      </c>
      <c r="AA190" s="33">
        <f>VLOOKUP(V190,'Hazard Weighting Functions'!$B$5:$G$1205,5,FALSE)</f>
        <v>2.9290000000000002E-3</v>
      </c>
      <c r="AB190" s="33">
        <f>AA190*W190</f>
        <v>0.41083618499999996</v>
      </c>
      <c r="AC190" s="33">
        <f>0.5*(V191-V190)*(AB190+AB191)</f>
        <v>1.7657362124999998</v>
      </c>
      <c r="AU190" s="1"/>
      <c r="AV190" s="1"/>
      <c r="AZ190" s="1"/>
      <c r="BA190" s="20"/>
      <c r="BE190" s="20"/>
      <c r="BF190" s="20"/>
    </row>
    <row r="191" spans="2:58">
      <c r="B191" s="33">
        <v>710</v>
      </c>
      <c r="C191" s="36">
        <v>141.30000000000001</v>
      </c>
      <c r="N191" s="58"/>
      <c r="O191" s="58"/>
      <c r="V191" s="61">
        <f t="shared" si="10"/>
        <v>710</v>
      </c>
      <c r="W191" s="61">
        <f t="shared" si="11"/>
        <v>141.30000000000001</v>
      </c>
      <c r="X191" s="33">
        <f>VLOOKUP(V191,'Hazard Weighting Functions'!$B$5:$G$1205,2,FALSE)</f>
        <v>0</v>
      </c>
      <c r="Y191" s="33">
        <f t="shared" si="12"/>
        <v>0</v>
      </c>
      <c r="Z191" s="33">
        <f t="shared" si="13"/>
        <v>0</v>
      </c>
      <c r="AA191" s="33">
        <f>VLOOKUP(V191,'Hazard Weighting Functions'!$B$5:$G$1205,5,FALSE)</f>
        <v>2.091E-3</v>
      </c>
      <c r="AB191" s="33">
        <f>AA191*W191</f>
        <v>0.29545830000000001</v>
      </c>
      <c r="AC191" s="33">
        <f>0.5*(V192-V191)*(AB191+AB192)</f>
        <v>1.26733188</v>
      </c>
      <c r="AU191" s="1"/>
      <c r="AV191" s="1"/>
      <c r="AZ191" s="1"/>
      <c r="BA191" s="20"/>
      <c r="BE191" s="20"/>
      <c r="BF191" s="20"/>
    </row>
    <row r="192" spans="2:58">
      <c r="B192" s="33">
        <v>715</v>
      </c>
      <c r="C192" s="36">
        <v>142.50299999999999</v>
      </c>
      <c r="N192" s="58"/>
      <c r="O192" s="58"/>
      <c r="V192" s="61">
        <f t="shared" si="10"/>
        <v>715</v>
      </c>
      <c r="W192" s="61">
        <f t="shared" si="11"/>
        <v>142.50299999999999</v>
      </c>
      <c r="X192" s="33">
        <f>VLOOKUP(V192,'Hazard Weighting Functions'!$B$5:$G$1205,2,FALSE)</f>
        <v>0</v>
      </c>
      <c r="Y192" s="33">
        <f t="shared" si="12"/>
        <v>0</v>
      </c>
      <c r="Z192" s="33">
        <f t="shared" si="13"/>
        <v>0</v>
      </c>
      <c r="AA192" s="33">
        <f>VLOOKUP(V192,'Hazard Weighting Functions'!$B$5:$G$1205,5,FALSE)</f>
        <v>1.4840000000000001E-3</v>
      </c>
      <c r="AB192" s="33">
        <f>AA192*W192</f>
        <v>0.21147445199999998</v>
      </c>
      <c r="AC192" s="33">
        <f>0.5*(V193-V192)*(AB192+AB193)</f>
        <v>0.90462718499999994</v>
      </c>
      <c r="AU192" s="1"/>
      <c r="AV192" s="1"/>
      <c r="AZ192" s="1"/>
      <c r="BA192" s="20"/>
      <c r="BE192" s="20"/>
      <c r="BF192" s="20"/>
    </row>
    <row r="193" spans="2:58">
      <c r="B193" s="33">
        <v>720</v>
      </c>
      <c r="C193" s="36">
        <v>143.626</v>
      </c>
      <c r="N193" s="58"/>
      <c r="O193" s="58"/>
      <c r="V193" s="61">
        <f t="shared" si="10"/>
        <v>720</v>
      </c>
      <c r="W193" s="61">
        <f t="shared" si="11"/>
        <v>143.626</v>
      </c>
      <c r="X193" s="33">
        <f>VLOOKUP(V193,'Hazard Weighting Functions'!$B$5:$G$1205,2,FALSE)</f>
        <v>0</v>
      </c>
      <c r="Y193" s="33">
        <f t="shared" si="12"/>
        <v>0</v>
      </c>
      <c r="Z193" s="33">
        <f t="shared" si="13"/>
        <v>0</v>
      </c>
      <c r="AA193" s="33">
        <f>VLOOKUP(V193,'Hazard Weighting Functions'!$B$5:$G$1205,5,FALSE)</f>
        <v>1.047E-3</v>
      </c>
      <c r="AB193" s="33">
        <f>AA193*W193</f>
        <v>0.15037642200000001</v>
      </c>
      <c r="AC193" s="33">
        <f>0.5*(V194-V193)*(AB193+AB194)</f>
        <v>0.64379145500000001</v>
      </c>
      <c r="AU193" s="1"/>
      <c r="AV193" s="1"/>
      <c r="AZ193" s="1"/>
      <c r="BA193" s="20"/>
      <c r="BE193" s="20"/>
      <c r="BF193" s="20"/>
    </row>
    <row r="194" spans="2:58">
      <c r="B194" s="33">
        <v>725</v>
      </c>
      <c r="C194" s="36">
        <v>144.78399999999999</v>
      </c>
      <c r="N194" s="58"/>
      <c r="O194" s="58"/>
      <c r="V194" s="61">
        <f t="shared" si="10"/>
        <v>725</v>
      </c>
      <c r="W194" s="61">
        <f t="shared" si="11"/>
        <v>144.78399999999999</v>
      </c>
      <c r="X194" s="33">
        <f>VLOOKUP(V194,'Hazard Weighting Functions'!$B$5:$G$1205,2,FALSE)</f>
        <v>0</v>
      </c>
      <c r="Y194" s="33">
        <f t="shared" si="12"/>
        <v>0</v>
      </c>
      <c r="Z194" s="33">
        <f t="shared" si="13"/>
        <v>0</v>
      </c>
      <c r="AA194" s="33">
        <f>VLOOKUP(V194,'Hazard Weighting Functions'!$B$5:$G$1205,5,FALSE)</f>
        <v>7.3999999999999999E-4</v>
      </c>
      <c r="AB194" s="33">
        <f>AA194*W194</f>
        <v>0.10714016</v>
      </c>
      <c r="AC194" s="33">
        <f>0.5*(V195-V194)*(AB194+AB195)</f>
        <v>0.45828869999999999</v>
      </c>
      <c r="AU194" s="1"/>
      <c r="AV194" s="1"/>
      <c r="AZ194" s="1"/>
      <c r="BA194" s="20"/>
      <c r="BE194" s="20"/>
      <c r="BF194" s="20"/>
    </row>
    <row r="195" spans="2:58">
      <c r="B195" s="33">
        <v>730</v>
      </c>
      <c r="C195" s="36">
        <v>146.49100000000001</v>
      </c>
      <c r="N195" s="58"/>
      <c r="O195" s="58"/>
      <c r="V195" s="61">
        <f t="shared" si="10"/>
        <v>730</v>
      </c>
      <c r="W195" s="61">
        <f t="shared" si="11"/>
        <v>146.49100000000001</v>
      </c>
      <c r="X195" s="33">
        <f>VLOOKUP(V195,'Hazard Weighting Functions'!$B$5:$G$1205,2,FALSE)</f>
        <v>0</v>
      </c>
      <c r="Y195" s="33">
        <f t="shared" si="12"/>
        <v>0</v>
      </c>
      <c r="Z195" s="33">
        <f t="shared" si="13"/>
        <v>0</v>
      </c>
      <c r="AA195" s="33">
        <f>VLOOKUP(V195,'Hazard Weighting Functions'!$B$5:$G$1205,5,FALSE)</f>
        <v>5.1999999999999995E-4</v>
      </c>
      <c r="AB195" s="33">
        <f>AA195*W195</f>
        <v>7.6175320000000005E-2</v>
      </c>
      <c r="AC195" s="33">
        <f>0.5*(V196-V195)*(AB195+AB196)</f>
        <v>0.32371940724999998</v>
      </c>
      <c r="AU195" s="1"/>
      <c r="AV195" s="1"/>
      <c r="AZ195" s="1"/>
      <c r="BA195" s="20"/>
      <c r="BE195" s="20"/>
      <c r="BF195" s="20"/>
    </row>
    <row r="196" spans="2:58">
      <c r="B196" s="33">
        <v>735</v>
      </c>
      <c r="C196" s="36">
        <v>147.63900000000001</v>
      </c>
      <c r="N196" s="58"/>
      <c r="O196" s="58"/>
      <c r="V196" s="61">
        <f t="shared" si="10"/>
        <v>735</v>
      </c>
      <c r="W196" s="61">
        <f t="shared" si="11"/>
        <v>147.63900000000001</v>
      </c>
      <c r="X196" s="33">
        <f>VLOOKUP(V196,'Hazard Weighting Functions'!$B$5:$G$1205,2,FALSE)</f>
        <v>0</v>
      </c>
      <c r="Y196" s="33">
        <f t="shared" si="12"/>
        <v>0</v>
      </c>
      <c r="Z196" s="33">
        <f t="shared" si="13"/>
        <v>0</v>
      </c>
      <c r="AA196" s="33">
        <f>VLOOKUP(V196,'Hazard Weighting Functions'!$B$5:$G$1205,5,FALSE)</f>
        <v>3.611E-4</v>
      </c>
      <c r="AB196" s="33">
        <f>AA196*W196</f>
        <v>5.33124429E-2</v>
      </c>
      <c r="AC196" s="33">
        <f>0.5*(V197-V196)*(AB196+AB197)</f>
        <v>0.22603334725000002</v>
      </c>
      <c r="AU196" s="1"/>
      <c r="AV196" s="1"/>
      <c r="AZ196" s="1"/>
      <c r="BA196" s="20"/>
      <c r="BE196" s="20"/>
      <c r="BF196" s="20"/>
    </row>
    <row r="197" spans="2:58">
      <c r="B197" s="33">
        <v>740</v>
      </c>
      <c r="C197" s="36">
        <v>148.88</v>
      </c>
      <c r="N197" s="58"/>
      <c r="O197" s="58"/>
      <c r="V197" s="61">
        <f t="shared" si="10"/>
        <v>740</v>
      </c>
      <c r="W197" s="61">
        <f t="shared" si="11"/>
        <v>148.88</v>
      </c>
      <c r="X197" s="33">
        <f>VLOOKUP(V197,'Hazard Weighting Functions'!$B$5:$G$1205,2,FALSE)</f>
        <v>0</v>
      </c>
      <c r="Y197" s="33">
        <f t="shared" si="12"/>
        <v>0</v>
      </c>
      <c r="Z197" s="33">
        <f t="shared" si="13"/>
        <v>0</v>
      </c>
      <c r="AA197" s="33">
        <f>VLOOKUP(V197,'Hazard Weighting Functions'!$B$5:$G$1205,5,FALSE)</f>
        <v>2.4919999999999999E-4</v>
      </c>
      <c r="AB197" s="33">
        <f>AA197*W197</f>
        <v>3.7100895999999994E-2</v>
      </c>
      <c r="AC197" s="33">
        <f>0.5*(V198-V197)*(AB197+AB198)</f>
        <v>0.15694399749999999</v>
      </c>
      <c r="AU197" s="1"/>
      <c r="AV197" s="1"/>
      <c r="AZ197" s="1"/>
      <c r="BA197" s="20"/>
      <c r="BE197" s="20"/>
      <c r="BF197" s="20"/>
    </row>
    <row r="198" spans="2:58">
      <c r="B198" s="33">
        <v>745</v>
      </c>
      <c r="C198" s="36">
        <v>149.37</v>
      </c>
      <c r="N198" s="58"/>
      <c r="O198" s="58"/>
      <c r="V198" s="61">
        <f t="shared" si="10"/>
        <v>745</v>
      </c>
      <c r="W198" s="61">
        <f t="shared" si="11"/>
        <v>149.37</v>
      </c>
      <c r="X198" s="33">
        <f>VLOOKUP(V198,'Hazard Weighting Functions'!$B$5:$G$1205,2,FALSE)</f>
        <v>0</v>
      </c>
      <c r="Y198" s="33">
        <f t="shared" si="12"/>
        <v>0</v>
      </c>
      <c r="Z198" s="33">
        <f t="shared" si="13"/>
        <v>0</v>
      </c>
      <c r="AA198" s="33">
        <f>VLOOKUP(V198,'Hazard Weighting Functions'!$B$5:$G$1205,5,FALSE)</f>
        <v>1.719E-4</v>
      </c>
      <c r="AB198" s="33">
        <f>AA198*W198</f>
        <v>2.5676703000000002E-2</v>
      </c>
      <c r="AC198" s="33">
        <f>0.5*(V199-V198)*(AB198+AB199)</f>
        <v>0.10924695750000002</v>
      </c>
      <c r="AU198" s="1"/>
      <c r="AV198" s="1"/>
      <c r="AZ198" s="1"/>
      <c r="BA198" s="20"/>
      <c r="BE198" s="20"/>
      <c r="BF198" s="20"/>
    </row>
    <row r="199" spans="2:58">
      <c r="B199" s="33">
        <v>750</v>
      </c>
      <c r="C199" s="36">
        <v>150.184</v>
      </c>
      <c r="N199" s="58"/>
      <c r="O199" s="58"/>
      <c r="V199" s="61">
        <f t="shared" si="10"/>
        <v>750</v>
      </c>
      <c r="W199" s="61">
        <f t="shared" si="11"/>
        <v>150.184</v>
      </c>
      <c r="X199" s="33">
        <f>VLOOKUP(V199,'Hazard Weighting Functions'!$B$5:$G$1205,2,FALSE)</f>
        <v>0</v>
      </c>
      <c r="Y199" s="33">
        <f t="shared" si="12"/>
        <v>0</v>
      </c>
      <c r="Z199" s="33">
        <f t="shared" si="13"/>
        <v>0</v>
      </c>
      <c r="AA199" s="33">
        <f>VLOOKUP(V199,'Hazard Weighting Functions'!$B$5:$G$1205,5,FALSE)</f>
        <v>1.2E-4</v>
      </c>
      <c r="AB199" s="33">
        <f>AA199*W199</f>
        <v>1.8022079999999999E-2</v>
      </c>
      <c r="AC199" s="33">
        <f>0.5*(V200-V199)*(AB199+AB200)</f>
        <v>7.7091792000000006E-2</v>
      </c>
      <c r="AU199" s="1"/>
      <c r="AV199" s="1"/>
      <c r="AZ199" s="1"/>
      <c r="BA199" s="20"/>
      <c r="BE199" s="20"/>
      <c r="BF199" s="20"/>
    </row>
    <row r="200" spans="2:58">
      <c r="B200" s="33">
        <v>755</v>
      </c>
      <c r="C200" s="36">
        <v>151.11600000000001</v>
      </c>
      <c r="N200" s="58"/>
      <c r="O200" s="58"/>
      <c r="V200" s="61">
        <f t="shared" si="10"/>
        <v>755</v>
      </c>
      <c r="W200" s="61">
        <f t="shared" si="11"/>
        <v>151.11600000000001</v>
      </c>
      <c r="X200" s="33">
        <f>VLOOKUP(V200,'Hazard Weighting Functions'!$B$5:$G$1205,2,FALSE)</f>
        <v>0</v>
      </c>
      <c r="Y200" s="33">
        <f t="shared" si="12"/>
        <v>0</v>
      </c>
      <c r="Z200" s="33">
        <f t="shared" si="13"/>
        <v>0</v>
      </c>
      <c r="AA200" s="33">
        <f>VLOOKUP(V200,'Hazard Weighting Functions'!$B$5:$G$1205,5,FALSE)</f>
        <v>8.4800000000000001E-5</v>
      </c>
      <c r="AB200" s="33">
        <f>AA200*W200</f>
        <v>1.2814636800000001E-2</v>
      </c>
      <c r="AC200" s="33">
        <f>0.5*(V201-V200)*(AB200+AB201)</f>
        <v>5.4871692000000014E-2</v>
      </c>
      <c r="AU200" s="1"/>
      <c r="AV200" s="1"/>
      <c r="AZ200" s="1"/>
      <c r="BA200" s="20"/>
      <c r="BE200" s="20"/>
      <c r="BF200" s="20"/>
    </row>
    <row r="201" spans="2:58">
      <c r="B201" s="33">
        <v>760</v>
      </c>
      <c r="C201" s="36">
        <v>152.23400000000001</v>
      </c>
      <c r="N201" s="58"/>
      <c r="O201" s="58"/>
      <c r="V201" s="61">
        <f t="shared" si="10"/>
        <v>760</v>
      </c>
      <c r="W201" s="61">
        <f t="shared" si="11"/>
        <v>152.23400000000001</v>
      </c>
      <c r="X201" s="33">
        <f>VLOOKUP(V201,'Hazard Weighting Functions'!$B$5:$G$1205,2,FALSE)</f>
        <v>0</v>
      </c>
      <c r="Y201" s="33">
        <f t="shared" si="12"/>
        <v>0</v>
      </c>
      <c r="Z201" s="33">
        <f t="shared" si="13"/>
        <v>0</v>
      </c>
      <c r="AA201" s="33">
        <f>VLOOKUP(V201,'Hazard Weighting Functions'!$B$5:$G$1205,5,FALSE)</f>
        <v>6.0000000000000002E-5</v>
      </c>
      <c r="AB201" s="33">
        <f>AA201*W201</f>
        <v>9.1340400000000013E-3</v>
      </c>
      <c r="AC201" s="33">
        <f>0.5*(V202-V201)*(AB201+AB202)</f>
        <v>3.9066986000000005E-2</v>
      </c>
      <c r="AU201" s="1"/>
      <c r="AV201" s="1"/>
      <c r="AZ201" s="1"/>
      <c r="BA201" s="20"/>
      <c r="BE201" s="20"/>
      <c r="BF201" s="20"/>
    </row>
    <row r="202" spans="2:58">
      <c r="B202" s="33">
        <v>765</v>
      </c>
      <c r="C202" s="36">
        <v>153.131</v>
      </c>
      <c r="N202" s="58"/>
      <c r="O202" s="58"/>
      <c r="V202" s="61">
        <f t="shared" si="10"/>
        <v>765</v>
      </c>
      <c r="W202" s="61">
        <f t="shared" si="11"/>
        <v>153.131</v>
      </c>
      <c r="X202" s="33">
        <f>VLOOKUP(V202,'Hazard Weighting Functions'!$B$5:$G$1205,2,FALSE)</f>
        <v>0</v>
      </c>
      <c r="Y202" s="33">
        <f t="shared" si="12"/>
        <v>0</v>
      </c>
      <c r="Z202" s="33">
        <f t="shared" si="13"/>
        <v>0</v>
      </c>
      <c r="AA202" s="33">
        <f>VLOOKUP(V202,'Hazard Weighting Functions'!$B$5:$G$1205,5,FALSE)</f>
        <v>4.2400000000000001E-5</v>
      </c>
      <c r="AB202" s="33">
        <f>AA202*W202</f>
        <v>6.4927544E-3</v>
      </c>
      <c r="AC202" s="33">
        <f>0.5*(V203-V202)*(AB202+AB203)</f>
        <v>2.7760361000000001E-2</v>
      </c>
      <c r="AU202" s="1"/>
      <c r="AV202" s="1"/>
      <c r="AZ202" s="1"/>
      <c r="BA202" s="20"/>
      <c r="BE202" s="20"/>
      <c r="BF202" s="20"/>
    </row>
    <row r="203" spans="2:58">
      <c r="B203" s="33">
        <v>770</v>
      </c>
      <c r="C203" s="36">
        <v>153.71299999999999</v>
      </c>
      <c r="N203" s="58"/>
      <c r="O203" s="58"/>
      <c r="V203" s="61">
        <f t="shared" si="10"/>
        <v>770</v>
      </c>
      <c r="W203" s="61">
        <f t="shared" si="11"/>
        <v>153.71299999999999</v>
      </c>
      <c r="X203" s="33">
        <f>VLOOKUP(V203,'Hazard Weighting Functions'!$B$5:$G$1205,2,FALSE)</f>
        <v>0</v>
      </c>
      <c r="Y203" s="33">
        <f t="shared" si="12"/>
        <v>0</v>
      </c>
      <c r="Z203" s="33">
        <f t="shared" si="13"/>
        <v>0</v>
      </c>
      <c r="AA203" s="33">
        <f>VLOOKUP(V203,'Hazard Weighting Functions'!$B$5:$G$1205,5,FALSE)</f>
        <v>3.0000000000000001E-5</v>
      </c>
      <c r="AB203" s="33">
        <f>AA203*W203</f>
        <v>4.6113899999999999E-3</v>
      </c>
      <c r="AC203" s="33">
        <f>0.5*(V204-V203)*(AB203+AB204)</f>
        <v>1.9700703999999999E-2</v>
      </c>
      <c r="AU203" s="1"/>
      <c r="AV203" s="1"/>
      <c r="AZ203" s="1"/>
      <c r="BA203" s="20"/>
      <c r="BE203" s="20"/>
      <c r="BF203" s="20"/>
    </row>
    <row r="204" spans="2:58">
      <c r="B204" s="33">
        <v>775</v>
      </c>
      <c r="C204" s="36">
        <v>154.19300000000001</v>
      </c>
      <c r="N204" s="58"/>
      <c r="O204" s="58"/>
      <c r="V204" s="61">
        <f t="shared" si="10"/>
        <v>775</v>
      </c>
      <c r="W204" s="61">
        <f t="shared" si="11"/>
        <v>154.19300000000001</v>
      </c>
      <c r="X204" s="33">
        <f>VLOOKUP(V204,'Hazard Weighting Functions'!$B$5:$G$1205,2,FALSE)</f>
        <v>0</v>
      </c>
      <c r="Y204" s="33">
        <f t="shared" si="12"/>
        <v>0</v>
      </c>
      <c r="Z204" s="33">
        <f t="shared" si="13"/>
        <v>0</v>
      </c>
      <c r="AA204" s="33">
        <f>VLOOKUP(V204,'Hazard Weighting Functions'!$B$5:$G$1205,5,FALSE)</f>
        <v>2.12E-5</v>
      </c>
      <c r="AB204" s="33">
        <f>AA204*W204</f>
        <v>3.2688916000000001E-3</v>
      </c>
      <c r="AC204" s="33">
        <f>0.5*(V205-V204)*(AB204+AB205)</f>
        <v>1.3970361000000001E-2</v>
      </c>
      <c r="AU204" s="1"/>
      <c r="AV204" s="1"/>
      <c r="AZ204" s="1"/>
      <c r="BA204" s="20"/>
      <c r="BE204" s="20"/>
      <c r="BF204" s="20"/>
    </row>
    <row r="205" spans="2:58">
      <c r="B205" s="33">
        <v>780</v>
      </c>
      <c r="C205" s="36">
        <v>154.72</v>
      </c>
      <c r="N205" s="58"/>
      <c r="O205" s="58"/>
      <c r="V205" s="61">
        <f t="shared" si="10"/>
        <v>780</v>
      </c>
      <c r="W205" s="61">
        <f t="shared" si="11"/>
        <v>154.72</v>
      </c>
      <c r="X205" s="33">
        <f>VLOOKUP(V205,'Hazard Weighting Functions'!$B$5:$G$1205,2,FALSE)</f>
        <v>0</v>
      </c>
      <c r="Y205" s="33">
        <f t="shared" si="12"/>
        <v>0</v>
      </c>
      <c r="Z205" s="33">
        <f t="shared" si="13"/>
        <v>0</v>
      </c>
      <c r="AA205" s="33">
        <f>VLOOKUP(V205,'Hazard Weighting Functions'!$B$5:$G$1205,5,FALSE)</f>
        <v>1.499E-5</v>
      </c>
      <c r="AB205" s="33">
        <f>AA205*W205</f>
        <v>2.3192528000000002E-3</v>
      </c>
      <c r="AU205" s="1"/>
      <c r="AV205" s="1"/>
      <c r="AZ205" s="1"/>
      <c r="BA205" s="20"/>
      <c r="BE205" s="20"/>
      <c r="BF205" s="20"/>
    </row>
    <row r="206" spans="2:58">
      <c r="B206" s="35"/>
      <c r="C206" s="35"/>
      <c r="N206" s="58"/>
      <c r="O206" s="58"/>
      <c r="AU206" s="1"/>
      <c r="AV206" s="1"/>
      <c r="AZ206" s="1"/>
      <c r="BA206" s="20"/>
      <c r="BE206" s="20"/>
      <c r="BF206" s="20"/>
    </row>
    <row r="207" spans="2:58">
      <c r="B207" s="35"/>
      <c r="C207" s="35"/>
      <c r="N207" s="58"/>
      <c r="O207" s="58"/>
      <c r="AU207" s="1"/>
      <c r="AV207" s="1"/>
      <c r="AZ207" s="1"/>
      <c r="BA207" s="20"/>
      <c r="BE207" s="20"/>
      <c r="BF207" s="20"/>
    </row>
    <row r="208" spans="2:58">
      <c r="B208" s="35"/>
      <c r="C208" s="35"/>
      <c r="N208" s="58"/>
      <c r="O208" s="58"/>
      <c r="AU208" s="1"/>
      <c r="AV208" s="1"/>
      <c r="AZ208" s="1"/>
      <c r="BA208" s="20"/>
      <c r="BE208" s="20"/>
      <c r="BF208" s="20"/>
    </row>
    <row r="209" spans="2:58">
      <c r="B209" s="35"/>
      <c r="C209" s="35"/>
      <c r="N209" s="58"/>
      <c r="O209" s="58"/>
      <c r="AU209" s="1"/>
      <c r="AV209" s="1"/>
      <c r="AZ209" s="1"/>
      <c r="BA209" s="20"/>
      <c r="BE209" s="20"/>
      <c r="BF209" s="20"/>
    </row>
    <row r="210" spans="2:58">
      <c r="B210" s="35"/>
      <c r="C210" s="35"/>
      <c r="N210" s="58"/>
      <c r="O210" s="58"/>
      <c r="AU210" s="1"/>
      <c r="AV210" s="1"/>
      <c r="AZ210" s="1"/>
      <c r="BA210" s="20"/>
      <c r="BE210" s="20"/>
      <c r="BF210" s="20"/>
    </row>
    <row r="211" spans="2:58">
      <c r="B211" s="35"/>
      <c r="C211" s="35"/>
      <c r="N211" s="58"/>
      <c r="O211" s="58"/>
      <c r="AU211" s="1"/>
      <c r="AV211" s="1"/>
      <c r="AZ211" s="1"/>
      <c r="BA211" s="20"/>
      <c r="BE211" s="20"/>
      <c r="BF211" s="20"/>
    </row>
    <row r="212" spans="2:58">
      <c r="B212" s="35"/>
      <c r="C212" s="35"/>
      <c r="N212" s="58"/>
      <c r="O212" s="58"/>
      <c r="AU212" s="1"/>
      <c r="AV212" s="1"/>
      <c r="AZ212" s="1"/>
      <c r="BA212" s="20"/>
      <c r="BE212" s="20"/>
      <c r="BF212" s="20"/>
    </row>
    <row r="213" spans="2:58">
      <c r="B213" s="35"/>
      <c r="C213" s="35"/>
      <c r="N213" s="58"/>
      <c r="O213" s="58"/>
      <c r="AU213" s="1"/>
      <c r="AV213" s="1"/>
      <c r="AZ213" s="1"/>
      <c r="BA213" s="20"/>
      <c r="BE213" s="20"/>
      <c r="BF213" s="20"/>
    </row>
    <row r="214" spans="2:58">
      <c r="B214" s="35"/>
      <c r="C214" s="35"/>
      <c r="N214" s="58"/>
      <c r="O214" s="58"/>
      <c r="AU214" s="1"/>
      <c r="AV214" s="1"/>
      <c r="AZ214" s="1"/>
      <c r="BA214" s="20"/>
      <c r="BE214" s="20"/>
      <c r="BF214" s="20"/>
    </row>
    <row r="215" spans="2:58">
      <c r="B215" s="35"/>
      <c r="C215" s="35"/>
      <c r="N215" s="58"/>
      <c r="O215" s="58"/>
      <c r="AU215" s="1"/>
      <c r="AV215" s="1"/>
      <c r="AZ215" s="1"/>
      <c r="BA215" s="20"/>
      <c r="BE215" s="20"/>
      <c r="BF215" s="20"/>
    </row>
    <row r="216" spans="2:58">
      <c r="B216" s="35"/>
      <c r="C216" s="35"/>
      <c r="N216" s="58"/>
      <c r="O216" s="58"/>
      <c r="AU216" s="1"/>
      <c r="AV216" s="1"/>
      <c r="AZ216" s="1"/>
      <c r="BA216" s="20"/>
      <c r="BE216" s="20"/>
      <c r="BF216" s="20"/>
    </row>
    <row r="217" spans="2:58">
      <c r="B217" s="35"/>
      <c r="C217" s="35"/>
      <c r="N217" s="58"/>
      <c r="O217" s="58"/>
      <c r="AU217" s="1"/>
      <c r="AV217" s="1"/>
      <c r="AZ217" s="1"/>
      <c r="BA217" s="20"/>
      <c r="BE217" s="20"/>
      <c r="BF217" s="20"/>
    </row>
    <row r="218" spans="2:58">
      <c r="B218" s="35"/>
      <c r="C218" s="35"/>
      <c r="N218" s="58"/>
      <c r="O218" s="58"/>
      <c r="AU218" s="1"/>
      <c r="AV218" s="1"/>
      <c r="AZ218" s="1"/>
      <c r="BA218" s="20"/>
      <c r="BE218" s="20"/>
      <c r="BF218" s="20"/>
    </row>
    <row r="219" spans="2:58">
      <c r="B219" s="35"/>
      <c r="C219" s="35"/>
      <c r="N219" s="58"/>
      <c r="O219" s="58"/>
      <c r="AU219" s="1"/>
      <c r="AV219" s="1"/>
      <c r="AZ219" s="1"/>
      <c r="BA219" s="20"/>
      <c r="BE219" s="20"/>
      <c r="BF219" s="20"/>
    </row>
    <row r="220" spans="2:58">
      <c r="B220" s="35"/>
      <c r="C220" s="35"/>
      <c r="N220" s="58"/>
      <c r="O220" s="58"/>
      <c r="AU220" s="1"/>
      <c r="AV220" s="1"/>
      <c r="AZ220" s="1"/>
      <c r="BA220" s="20"/>
      <c r="BE220" s="20"/>
      <c r="BF220" s="20"/>
    </row>
    <row r="221" spans="2:58">
      <c r="B221" s="35"/>
      <c r="C221" s="35"/>
      <c r="N221" s="58"/>
      <c r="O221" s="58"/>
      <c r="AU221" s="1"/>
      <c r="AV221" s="1"/>
      <c r="AZ221" s="1"/>
      <c r="BA221" s="20"/>
      <c r="BE221" s="20"/>
      <c r="BF221" s="20"/>
    </row>
    <row r="222" spans="2:58">
      <c r="B222" s="35"/>
      <c r="C222" s="35"/>
      <c r="N222" s="58"/>
      <c r="O222" s="58"/>
      <c r="AU222" s="1"/>
      <c r="AV222" s="1"/>
      <c r="AZ222" s="1"/>
      <c r="BA222" s="20"/>
      <c r="BE222" s="20"/>
      <c r="BF222" s="20"/>
    </row>
    <row r="223" spans="2:58">
      <c r="B223" s="35"/>
      <c r="C223" s="35"/>
      <c r="N223" s="58"/>
      <c r="O223" s="58"/>
      <c r="AU223" s="1"/>
      <c r="AV223" s="1"/>
      <c r="AZ223" s="1"/>
      <c r="BA223" s="20"/>
      <c r="BE223" s="20"/>
      <c r="BF223" s="20"/>
    </row>
    <row r="224" spans="2:58">
      <c r="B224" s="35"/>
      <c r="C224" s="35"/>
      <c r="N224" s="58"/>
      <c r="O224" s="58"/>
      <c r="AU224" s="1"/>
      <c r="AV224" s="1"/>
      <c r="AZ224" s="1"/>
      <c r="BA224" s="20"/>
      <c r="BE224" s="20"/>
      <c r="BF224" s="20"/>
    </row>
    <row r="225" spans="2:58">
      <c r="B225" s="35"/>
      <c r="C225" s="35"/>
      <c r="N225" s="58"/>
      <c r="O225" s="58"/>
      <c r="AU225" s="1"/>
      <c r="AV225" s="1"/>
      <c r="AZ225" s="1"/>
      <c r="BA225" s="20"/>
      <c r="BE225" s="20"/>
      <c r="BF225" s="20"/>
    </row>
    <row r="226" spans="2:58">
      <c r="B226" s="35"/>
      <c r="C226" s="35"/>
      <c r="N226" s="58"/>
      <c r="O226" s="58"/>
      <c r="AU226" s="1"/>
      <c r="AV226" s="1"/>
      <c r="AZ226" s="1"/>
      <c r="BA226" s="20"/>
      <c r="BE226" s="20"/>
      <c r="BF226" s="20"/>
    </row>
    <row r="227" spans="2:58">
      <c r="B227" s="35"/>
      <c r="C227" s="35"/>
      <c r="N227" s="58"/>
      <c r="O227" s="58"/>
      <c r="AU227" s="1"/>
      <c r="AV227" s="1"/>
      <c r="AZ227" s="1"/>
      <c r="BA227" s="20"/>
      <c r="BE227" s="20"/>
      <c r="BF227" s="20"/>
    </row>
    <row r="228" spans="2:58">
      <c r="B228" s="35"/>
      <c r="C228" s="35"/>
      <c r="N228" s="58"/>
      <c r="O228" s="58"/>
      <c r="AU228" s="1"/>
      <c r="AV228" s="1"/>
      <c r="AZ228" s="1"/>
      <c r="BA228" s="20"/>
      <c r="BE228" s="20"/>
      <c r="BF228" s="20"/>
    </row>
    <row r="229" spans="2:58">
      <c r="B229" s="35"/>
      <c r="C229" s="35"/>
      <c r="N229" s="58"/>
      <c r="O229" s="58"/>
      <c r="AU229" s="1"/>
      <c r="AV229" s="1"/>
      <c r="AZ229" s="1"/>
      <c r="BA229" s="20"/>
      <c r="BE229" s="20"/>
      <c r="BF229" s="20"/>
    </row>
    <row r="230" spans="2:58">
      <c r="B230" s="35"/>
      <c r="C230" s="35"/>
      <c r="N230" s="58"/>
      <c r="O230" s="58"/>
      <c r="AU230" s="1"/>
      <c r="AV230" s="1"/>
      <c r="AZ230" s="1"/>
      <c r="BA230" s="20"/>
      <c r="BE230" s="20"/>
      <c r="BF230" s="20"/>
    </row>
    <row r="231" spans="2:58">
      <c r="B231" s="35"/>
      <c r="C231" s="35"/>
      <c r="N231" s="58"/>
      <c r="O231" s="58"/>
      <c r="AU231" s="1"/>
      <c r="AV231" s="1"/>
      <c r="AZ231" s="1"/>
      <c r="BA231" s="20"/>
      <c r="BE231" s="20"/>
      <c r="BF231" s="20"/>
    </row>
    <row r="232" spans="2:58">
      <c r="B232" s="35"/>
      <c r="C232" s="35"/>
      <c r="N232" s="58"/>
      <c r="O232" s="58"/>
      <c r="AU232" s="1"/>
      <c r="AV232" s="1"/>
      <c r="AZ232" s="1"/>
      <c r="BA232" s="20"/>
      <c r="BE232" s="20"/>
      <c r="BF232" s="20"/>
    </row>
    <row r="233" spans="2:58">
      <c r="B233" s="35"/>
      <c r="C233" s="35"/>
      <c r="N233" s="58"/>
      <c r="O233" s="58"/>
      <c r="AU233" s="1"/>
      <c r="AV233" s="1"/>
      <c r="AZ233" s="1"/>
      <c r="BA233" s="20"/>
      <c r="BE233" s="20"/>
      <c r="BF233" s="20"/>
    </row>
    <row r="234" spans="2:58">
      <c r="B234" s="35"/>
      <c r="C234" s="35"/>
      <c r="N234" s="58"/>
      <c r="O234" s="58"/>
      <c r="AU234" s="1"/>
      <c r="AV234" s="1"/>
      <c r="AZ234" s="1"/>
      <c r="BA234" s="20"/>
      <c r="BE234" s="20"/>
      <c r="BF234" s="20"/>
    </row>
    <row r="235" spans="2:58">
      <c r="B235" s="35"/>
      <c r="C235" s="35"/>
      <c r="N235" s="58"/>
      <c r="O235" s="58"/>
      <c r="AU235" s="1"/>
      <c r="AV235" s="1"/>
      <c r="AZ235" s="1"/>
      <c r="BA235" s="20"/>
      <c r="BE235" s="20"/>
      <c r="BF235" s="20"/>
    </row>
    <row r="236" spans="2:58">
      <c r="B236" s="35"/>
      <c r="C236" s="35"/>
      <c r="N236" s="58"/>
      <c r="O236" s="58"/>
      <c r="AU236" s="1"/>
      <c r="AV236" s="1"/>
      <c r="AZ236" s="1"/>
      <c r="BA236" s="20"/>
      <c r="BE236" s="20"/>
      <c r="BF236" s="20"/>
    </row>
    <row r="237" spans="2:58">
      <c r="B237" s="35"/>
      <c r="C237" s="35"/>
      <c r="N237" s="58"/>
      <c r="O237" s="58"/>
      <c r="AU237" s="1"/>
      <c r="AV237" s="1"/>
      <c r="AZ237" s="1"/>
      <c r="BA237" s="20"/>
      <c r="BE237" s="20"/>
      <c r="BF237" s="20"/>
    </row>
    <row r="238" spans="2:58">
      <c r="B238" s="35"/>
      <c r="C238" s="35"/>
      <c r="N238" s="58"/>
      <c r="O238" s="58"/>
      <c r="AU238" s="1"/>
      <c r="AV238" s="1"/>
      <c r="AZ238" s="1"/>
      <c r="BA238" s="20"/>
      <c r="BE238" s="20"/>
      <c r="BF238" s="20"/>
    </row>
    <row r="239" spans="2:58">
      <c r="B239" s="35"/>
      <c r="C239" s="35"/>
      <c r="N239" s="58"/>
      <c r="O239" s="58"/>
      <c r="AU239" s="1"/>
      <c r="AV239" s="1"/>
      <c r="AZ239" s="1"/>
      <c r="BA239" s="20"/>
      <c r="BE239" s="20"/>
      <c r="BF239" s="20"/>
    </row>
    <row r="240" spans="2:58">
      <c r="B240" s="35"/>
      <c r="C240" s="35"/>
      <c r="N240" s="58"/>
      <c r="O240" s="58"/>
      <c r="AU240" s="1"/>
      <c r="AV240" s="1"/>
      <c r="AZ240" s="1"/>
      <c r="BA240" s="20"/>
      <c r="BE240" s="20"/>
      <c r="BF240" s="20"/>
    </row>
    <row r="241" spans="2:58">
      <c r="B241" s="35"/>
      <c r="C241" s="35"/>
      <c r="N241" s="58"/>
      <c r="O241" s="58"/>
      <c r="AU241" s="1"/>
      <c r="AV241" s="1"/>
      <c r="AZ241" s="1"/>
      <c r="BA241" s="20"/>
      <c r="BE241" s="20"/>
      <c r="BF241" s="20"/>
    </row>
    <row r="242" spans="2:58">
      <c r="B242" s="35"/>
      <c r="C242" s="35"/>
      <c r="N242" s="58"/>
      <c r="O242" s="58"/>
      <c r="AU242" s="1"/>
      <c r="AV242" s="1"/>
      <c r="AZ242" s="1"/>
      <c r="BA242" s="20"/>
      <c r="BE242" s="20"/>
      <c r="BF242" s="20"/>
    </row>
    <row r="243" spans="2:58">
      <c r="B243" s="35"/>
      <c r="C243" s="35"/>
      <c r="N243" s="58"/>
      <c r="O243" s="58"/>
      <c r="AU243" s="1"/>
      <c r="AV243" s="1"/>
      <c r="AZ243" s="1"/>
      <c r="BA243" s="20"/>
      <c r="BE243" s="20"/>
      <c r="BF243" s="20"/>
    </row>
    <row r="244" spans="2:58">
      <c r="B244" s="35"/>
      <c r="C244" s="35"/>
      <c r="N244" s="58"/>
      <c r="O244" s="58"/>
      <c r="AU244" s="1"/>
      <c r="AV244" s="1"/>
      <c r="AZ244" s="1"/>
      <c r="BA244" s="20"/>
      <c r="BE244" s="20"/>
      <c r="BF244" s="20"/>
    </row>
    <row r="245" spans="2:58">
      <c r="B245" s="35"/>
      <c r="C245" s="35"/>
      <c r="N245" s="58"/>
      <c r="O245" s="58"/>
      <c r="AU245" s="1"/>
      <c r="AV245" s="1"/>
      <c r="AZ245" s="1"/>
      <c r="BA245" s="20"/>
      <c r="BE245" s="20"/>
      <c r="BF245" s="20"/>
    </row>
    <row r="246" spans="2:58">
      <c r="B246" s="35"/>
      <c r="C246" s="35"/>
      <c r="N246" s="58"/>
      <c r="O246" s="58"/>
      <c r="AU246" s="1"/>
      <c r="AV246" s="1"/>
      <c r="AZ246" s="1"/>
      <c r="BA246" s="20"/>
      <c r="BE246" s="20"/>
      <c r="BF246" s="20"/>
    </row>
    <row r="247" spans="2:58">
      <c r="B247" s="35"/>
      <c r="C247" s="35"/>
      <c r="N247" s="58"/>
      <c r="O247" s="58"/>
      <c r="AU247" s="1"/>
      <c r="AV247" s="1"/>
      <c r="AZ247" s="1"/>
      <c r="BA247" s="20"/>
      <c r="BE247" s="20"/>
      <c r="BF247" s="20"/>
    </row>
    <row r="248" spans="2:58">
      <c r="B248" s="35"/>
      <c r="C248" s="35"/>
      <c r="N248" s="58"/>
      <c r="O248" s="58"/>
      <c r="AU248" s="1"/>
      <c r="AV248" s="1"/>
      <c r="AZ248" s="1"/>
      <c r="BA248" s="20"/>
      <c r="BE248" s="20"/>
      <c r="BF248" s="20"/>
    </row>
    <row r="249" spans="2:58">
      <c r="B249" s="35"/>
      <c r="C249" s="35"/>
      <c r="N249" s="58"/>
      <c r="O249" s="58"/>
      <c r="AU249" s="1"/>
      <c r="AV249" s="1"/>
      <c r="AZ249" s="1"/>
      <c r="BA249" s="20"/>
      <c r="BE249" s="20"/>
      <c r="BF249" s="20"/>
    </row>
    <row r="250" spans="2:58">
      <c r="B250" s="35"/>
      <c r="C250" s="35"/>
      <c r="N250" s="58"/>
      <c r="O250" s="58"/>
      <c r="AU250" s="1"/>
      <c r="AV250" s="1"/>
      <c r="AZ250" s="1"/>
      <c r="BA250" s="20"/>
      <c r="BE250" s="20"/>
      <c r="BF250" s="20"/>
    </row>
    <row r="251" spans="2:58">
      <c r="B251" s="35"/>
      <c r="C251" s="35"/>
      <c r="N251" s="58"/>
      <c r="O251" s="58"/>
      <c r="AU251" s="1"/>
      <c r="AV251" s="1"/>
      <c r="AZ251" s="1"/>
      <c r="BA251" s="20"/>
      <c r="BE251" s="20"/>
      <c r="BF251" s="20"/>
    </row>
    <row r="252" spans="2:58">
      <c r="B252" s="35"/>
      <c r="C252" s="35"/>
      <c r="N252" s="58"/>
      <c r="O252" s="58"/>
      <c r="AU252" s="1"/>
      <c r="AV252" s="1"/>
      <c r="AZ252" s="1"/>
      <c r="BA252" s="20"/>
      <c r="BE252" s="20"/>
      <c r="BF252" s="20"/>
    </row>
    <row r="253" spans="2:58">
      <c r="B253" s="35"/>
      <c r="C253" s="35"/>
      <c r="N253" s="58"/>
      <c r="O253" s="58"/>
      <c r="AU253" s="1"/>
      <c r="AV253" s="1"/>
      <c r="AZ253" s="1"/>
      <c r="BA253" s="20"/>
      <c r="BE253" s="20"/>
      <c r="BF253" s="20"/>
    </row>
    <row r="254" spans="2:58">
      <c r="B254" s="35"/>
      <c r="C254" s="35"/>
      <c r="N254" s="58"/>
      <c r="O254" s="58"/>
      <c r="AU254" s="1"/>
      <c r="AV254" s="1"/>
      <c r="AZ254" s="1"/>
      <c r="BA254" s="20"/>
      <c r="BE254" s="20"/>
      <c r="BF254" s="20"/>
    </row>
    <row r="255" spans="2:58">
      <c r="B255" s="35"/>
      <c r="C255" s="35"/>
      <c r="N255" s="58"/>
      <c r="O255" s="58"/>
      <c r="AU255" s="1"/>
      <c r="AV255" s="1"/>
      <c r="AZ255" s="1"/>
      <c r="BA255" s="20"/>
      <c r="BE255" s="20"/>
      <c r="BF255" s="20"/>
    </row>
    <row r="256" spans="2:58">
      <c r="B256" s="35"/>
      <c r="C256" s="35"/>
      <c r="N256" s="58"/>
      <c r="O256" s="58"/>
      <c r="AU256" s="1"/>
      <c r="AV256" s="1"/>
      <c r="AZ256" s="1"/>
      <c r="BA256" s="20"/>
      <c r="BE256" s="20"/>
      <c r="BF256" s="20"/>
    </row>
    <row r="257" spans="2:58">
      <c r="B257" s="35"/>
      <c r="C257" s="35"/>
      <c r="N257" s="58"/>
      <c r="O257" s="58"/>
      <c r="AU257" s="1"/>
      <c r="AV257" s="1"/>
      <c r="AZ257" s="1"/>
      <c r="BA257" s="20"/>
      <c r="BE257" s="20"/>
      <c r="BF257" s="20"/>
    </row>
    <row r="258" spans="2:58">
      <c r="B258" s="35"/>
      <c r="C258" s="35"/>
      <c r="N258" s="58"/>
      <c r="O258" s="58"/>
      <c r="AU258" s="1"/>
      <c r="AV258" s="1"/>
      <c r="AZ258" s="1"/>
      <c r="BA258" s="20"/>
      <c r="BE258" s="20"/>
      <c r="BF258" s="20"/>
    </row>
    <row r="259" spans="2:58">
      <c r="B259" s="35"/>
      <c r="C259" s="35"/>
      <c r="N259" s="58"/>
      <c r="O259" s="58"/>
      <c r="AU259" s="1"/>
      <c r="AV259" s="1"/>
      <c r="AZ259" s="1"/>
      <c r="BA259" s="20"/>
      <c r="BE259" s="20"/>
      <c r="BF259" s="20"/>
    </row>
    <row r="260" spans="2:58">
      <c r="B260" s="35"/>
      <c r="C260" s="35"/>
      <c r="N260" s="58"/>
      <c r="O260" s="58"/>
      <c r="AU260" s="1"/>
      <c r="AV260" s="1"/>
      <c r="AZ260" s="1"/>
      <c r="BA260" s="20"/>
      <c r="BE260" s="20"/>
      <c r="BF260" s="20"/>
    </row>
    <row r="261" spans="2:58">
      <c r="B261" s="35"/>
      <c r="C261" s="35"/>
      <c r="N261" s="58"/>
      <c r="O261" s="58"/>
      <c r="AU261" s="1"/>
      <c r="AV261" s="1"/>
      <c r="AZ261" s="1"/>
      <c r="BA261" s="20"/>
      <c r="BE261" s="20"/>
      <c r="BF261" s="20"/>
    </row>
    <row r="262" spans="2:58">
      <c r="B262" s="35"/>
      <c r="C262" s="35"/>
      <c r="N262" s="58"/>
      <c r="O262" s="58"/>
      <c r="AU262" s="1"/>
      <c r="AV262" s="1"/>
      <c r="AZ262" s="1"/>
      <c r="BA262" s="20"/>
      <c r="BE262" s="20"/>
      <c r="BF262" s="20"/>
    </row>
    <row r="263" spans="2:58">
      <c r="B263" s="35"/>
      <c r="C263" s="35"/>
      <c r="N263" s="58"/>
      <c r="O263" s="58"/>
      <c r="AU263" s="1"/>
      <c r="AV263" s="1"/>
      <c r="AZ263" s="1"/>
      <c r="BA263" s="20"/>
      <c r="BE263" s="20"/>
      <c r="BF263" s="20"/>
    </row>
    <row r="264" spans="2:58">
      <c r="B264" s="35"/>
      <c r="C264" s="35"/>
      <c r="N264" s="58"/>
      <c r="O264" s="58"/>
      <c r="AU264" s="1"/>
      <c r="AV264" s="1"/>
      <c r="AZ264" s="1"/>
      <c r="BA264" s="20"/>
      <c r="BE264" s="20"/>
      <c r="BF264" s="20"/>
    </row>
    <row r="265" spans="2:58">
      <c r="B265" s="35"/>
      <c r="C265" s="35"/>
      <c r="N265" s="58"/>
      <c r="O265" s="58"/>
      <c r="AU265" s="1"/>
      <c r="AV265" s="1"/>
      <c r="AZ265" s="1"/>
      <c r="BA265" s="20"/>
      <c r="BE265" s="20"/>
      <c r="BF265" s="20"/>
    </row>
    <row r="266" spans="2:58">
      <c r="B266" s="35"/>
      <c r="C266" s="35"/>
      <c r="N266" s="58"/>
      <c r="O266" s="58"/>
      <c r="AU266" s="1"/>
      <c r="AV266" s="1"/>
      <c r="AZ266" s="1"/>
      <c r="BA266" s="20"/>
      <c r="BE266" s="20"/>
      <c r="BF266" s="20"/>
    </row>
    <row r="267" spans="2:58">
      <c r="B267" s="35"/>
      <c r="C267" s="35"/>
      <c r="N267" s="58"/>
      <c r="O267" s="58"/>
      <c r="AU267" s="1"/>
      <c r="AV267" s="1"/>
      <c r="AZ267" s="1"/>
      <c r="BA267" s="20"/>
      <c r="BE267" s="20"/>
      <c r="BF267" s="20"/>
    </row>
    <row r="268" spans="2:58">
      <c r="B268" s="35"/>
      <c r="C268" s="35"/>
      <c r="N268" s="58"/>
      <c r="O268" s="58"/>
      <c r="AU268" s="1"/>
      <c r="AV268" s="1"/>
      <c r="AZ268" s="1"/>
      <c r="BA268" s="20"/>
      <c r="BE268" s="20"/>
      <c r="BF268" s="20"/>
    </row>
    <row r="269" spans="2:58">
      <c r="B269" s="35"/>
      <c r="C269" s="35"/>
      <c r="N269" s="58"/>
      <c r="O269" s="58"/>
      <c r="AU269" s="1"/>
      <c r="AV269" s="1"/>
      <c r="AZ269" s="1"/>
      <c r="BA269" s="20"/>
      <c r="BE269" s="20"/>
      <c r="BF269" s="20"/>
    </row>
    <row r="270" spans="2:58">
      <c r="H270" s="35">
        <v>2205</v>
      </c>
      <c r="I270" s="35">
        <f>336.363804*(1628/1602)</f>
        <v>341.82289195505615</v>
      </c>
      <c r="K270" s="35">
        <v>1355</v>
      </c>
      <c r="L270" s="35">
        <v>756993.6</v>
      </c>
      <c r="N270" s="58">
        <v>1235</v>
      </c>
      <c r="O270" s="58">
        <v>889607.99999999977</v>
      </c>
      <c r="AU270" s="1"/>
      <c r="AV270" s="1"/>
      <c r="AZ270" s="1"/>
      <c r="BA270" s="20"/>
      <c r="BE270" s="20"/>
      <c r="BF270" s="20"/>
    </row>
    <row r="271" spans="2:58">
      <c r="H271" s="35">
        <v>2210</v>
      </c>
      <c r="I271" s="35">
        <f>334.0908*(1628/1602)</f>
        <v>339.51299775280899</v>
      </c>
      <c r="K271" s="35">
        <v>1360</v>
      </c>
      <c r="L271" s="35">
        <v>751700</v>
      </c>
      <c r="N271" s="58">
        <v>1240</v>
      </c>
      <c r="O271" s="58">
        <v>883936</v>
      </c>
      <c r="AU271" s="1"/>
      <c r="AV271" s="1"/>
      <c r="AZ271" s="1"/>
      <c r="BA271" s="20"/>
      <c r="BE271" s="20"/>
      <c r="BF271" s="20"/>
    </row>
    <row r="272" spans="2:58">
      <c r="H272" s="35">
        <v>2215</v>
      </c>
      <c r="I272" s="35">
        <f>331.8351*(1628/1602)</f>
        <v>337.22068838951316</v>
      </c>
      <c r="K272" s="35">
        <v>1365</v>
      </c>
      <c r="L272" s="35">
        <v>746424.8</v>
      </c>
      <c r="N272" s="58">
        <v>1245</v>
      </c>
      <c r="O272" s="58">
        <v>878272</v>
      </c>
      <c r="AU272" s="1"/>
      <c r="AV272" s="1"/>
      <c r="AZ272" s="1"/>
      <c r="BA272" s="20"/>
      <c r="BE272" s="20"/>
      <c r="BF272" s="20"/>
    </row>
    <row r="273" spans="8:58">
      <c r="H273" s="35">
        <v>2220</v>
      </c>
      <c r="I273" s="35">
        <f>329.596704*(1628/1602)</f>
        <v>334.94596386516855</v>
      </c>
      <c r="K273" s="35">
        <v>1370</v>
      </c>
      <c r="L273" s="35">
        <v>741171.19999999995</v>
      </c>
      <c r="N273" s="58">
        <v>1250</v>
      </c>
      <c r="O273" s="58">
        <v>872607.99999999977</v>
      </c>
      <c r="AZ273" s="1"/>
      <c r="BA273" s="20"/>
      <c r="BE273" s="20"/>
      <c r="BF273" s="20"/>
    </row>
    <row r="274" spans="8:58">
      <c r="H274" s="35">
        <v>2225</v>
      </c>
      <c r="I274" s="35">
        <f>327.374376*(1628/1602)</f>
        <v>332.6875681198502</v>
      </c>
      <c r="K274" s="35">
        <v>1375</v>
      </c>
      <c r="L274" s="35">
        <v>735936.79999999993</v>
      </c>
      <c r="N274" s="58">
        <v>1255</v>
      </c>
      <c r="O274" s="58">
        <v>866944</v>
      </c>
      <c r="AZ274" s="1"/>
      <c r="BA274" s="20"/>
      <c r="BE274" s="20"/>
      <c r="BF274" s="20"/>
    </row>
    <row r="275" spans="8:58">
      <c r="H275" s="35">
        <v>2230</v>
      </c>
      <c r="I275" s="35">
        <f>325.168116*(1628/1602)</f>
        <v>330.44550115355804</v>
      </c>
      <c r="K275" s="35">
        <v>1380</v>
      </c>
      <c r="L275" s="35">
        <v>730724.79999999993</v>
      </c>
      <c r="N275" s="58">
        <v>1260</v>
      </c>
      <c r="O275" s="58">
        <v>861288</v>
      </c>
      <c r="AZ275" s="1"/>
      <c r="BA275" s="20"/>
      <c r="BE275" s="20"/>
      <c r="BF275" s="20"/>
    </row>
    <row r="276" spans="8:58">
      <c r="H276" s="35">
        <v>2235</v>
      </c>
      <c r="I276" s="35">
        <f>322.977924*(1628/1602)</f>
        <v>328.21976296629214</v>
      </c>
      <c r="K276" s="35">
        <v>1385</v>
      </c>
      <c r="L276" s="35">
        <v>725532.79999999993</v>
      </c>
      <c r="N276" s="58">
        <v>1265</v>
      </c>
      <c r="O276" s="58">
        <v>855648</v>
      </c>
      <c r="AZ276" s="1"/>
      <c r="BA276" s="20"/>
      <c r="BE276" s="20"/>
      <c r="BF276" s="20"/>
    </row>
    <row r="277" spans="8:58">
      <c r="H277" s="35">
        <v>2240</v>
      </c>
      <c r="I277" s="35">
        <f>320.805036*(1628/1602)</f>
        <v>326.01160961797757</v>
      </c>
      <c r="K277" s="35">
        <v>1390</v>
      </c>
      <c r="L277" s="35">
        <v>720363.2</v>
      </c>
      <c r="N277" s="58">
        <v>1270</v>
      </c>
      <c r="O277" s="58">
        <v>850008</v>
      </c>
      <c r="AZ277" s="1"/>
      <c r="BA277" s="20"/>
      <c r="BE277" s="20"/>
      <c r="BF277" s="20"/>
    </row>
    <row r="278" spans="8:58">
      <c r="H278" s="35">
        <v>2245</v>
      </c>
      <c r="I278" s="35">
        <f>318.64698*(1628/1602)</f>
        <v>323.81852898876406</v>
      </c>
      <c r="K278" s="35">
        <v>1395</v>
      </c>
      <c r="L278" s="35">
        <v>715216</v>
      </c>
      <c r="N278" s="58">
        <v>1275</v>
      </c>
      <c r="O278" s="58">
        <v>844376</v>
      </c>
      <c r="AZ278" s="1"/>
      <c r="BA278" s="20"/>
      <c r="BE278" s="20"/>
      <c r="BF278" s="20"/>
    </row>
    <row r="279" spans="8:58">
      <c r="H279" s="35">
        <v>2250</v>
      </c>
      <c r="I279" s="35">
        <f>316.506228*(1628/1602)</f>
        <v>321.64303319850183</v>
      </c>
      <c r="K279" s="35">
        <v>1400</v>
      </c>
      <c r="L279" s="35">
        <v>710091.2</v>
      </c>
      <c r="N279" s="58">
        <v>1280</v>
      </c>
      <c r="O279" s="58">
        <v>838751.99999999988</v>
      </c>
      <c r="AZ279" s="1"/>
      <c r="BA279" s="20"/>
      <c r="BE279" s="20"/>
      <c r="BF279" s="20"/>
    </row>
    <row r="280" spans="8:58">
      <c r="H280" s="35">
        <v>2255</v>
      </c>
      <c r="I280" s="35">
        <f>314.379072*(1628/1602)</f>
        <v>319.48135406741568</v>
      </c>
      <c r="N280" s="58">
        <v>1285</v>
      </c>
      <c r="O280" s="58">
        <v>833135.99999999988</v>
      </c>
      <c r="AZ280" s="1"/>
      <c r="BA280" s="1"/>
      <c r="BE280" s="20"/>
      <c r="BF280" s="20"/>
    </row>
    <row r="281" spans="8:58">
      <c r="H281" s="35">
        <v>2260</v>
      </c>
      <c r="I281" s="35">
        <f>312.26922*(1628/1602)</f>
        <v>317.33725977528093</v>
      </c>
      <c r="N281" s="58">
        <v>1290</v>
      </c>
      <c r="O281" s="58">
        <v>827535.99999999988</v>
      </c>
      <c r="AZ281" s="1"/>
      <c r="BA281" s="1"/>
      <c r="BE281" s="20"/>
      <c r="BF281" s="20"/>
    </row>
    <row r="282" spans="8:58">
      <c r="H282" s="35">
        <v>2265</v>
      </c>
      <c r="I282" s="35">
        <f>310.1742*(1628/1602)</f>
        <v>315.20823820224717</v>
      </c>
      <c r="N282" s="58">
        <v>1295</v>
      </c>
      <c r="O282" s="58">
        <v>821952</v>
      </c>
      <c r="AZ282" s="1"/>
      <c r="BA282" s="1"/>
      <c r="BE282" s="20"/>
      <c r="BF282" s="20"/>
    </row>
    <row r="283" spans="8:58">
      <c r="H283" s="35">
        <v>2270</v>
      </c>
      <c r="I283" s="35">
        <f>308.095248*(1628/1602)</f>
        <v>313.09554540823967</v>
      </c>
      <c r="N283" s="58">
        <v>1300</v>
      </c>
      <c r="O283" s="58">
        <v>816375.99999999988</v>
      </c>
      <c r="AZ283" s="1"/>
      <c r="BA283" s="1"/>
      <c r="BE283" s="20"/>
      <c r="BF283" s="20"/>
    </row>
    <row r="284" spans="8:58">
      <c r="H284" s="35">
        <v>2275</v>
      </c>
      <c r="I284" s="35">
        <f>306.031128*(1628/1602)</f>
        <v>310.99792533333328</v>
      </c>
      <c r="N284" s="58">
        <v>1305</v>
      </c>
      <c r="O284" s="58">
        <v>810895.99999999988</v>
      </c>
      <c r="AZ284" s="1"/>
      <c r="BA284" s="1"/>
      <c r="BE284" s="20"/>
      <c r="BF284" s="20"/>
    </row>
    <row r="285" spans="8:58">
      <c r="H285" s="35">
        <v>2280</v>
      </c>
      <c r="I285" s="35">
        <f>303.983076*(1628/1602)</f>
        <v>308.91663403745315</v>
      </c>
      <c r="N285" s="58">
        <v>1310</v>
      </c>
      <c r="O285" s="58">
        <v>805440</v>
      </c>
      <c r="AZ285" s="1"/>
      <c r="BA285" s="1"/>
      <c r="BE285" s="20"/>
      <c r="BF285" s="20"/>
    </row>
    <row r="286" spans="8:58">
      <c r="H286" s="35">
        <v>2285</v>
      </c>
      <c r="I286" s="35">
        <f>301.94862*(1628/1602)</f>
        <v>306.8491594007491</v>
      </c>
      <c r="N286" s="58">
        <v>1315</v>
      </c>
      <c r="O286" s="58">
        <v>799991.99999999988</v>
      </c>
      <c r="AZ286" s="1"/>
      <c r="BA286" s="1"/>
      <c r="BE286" s="20"/>
      <c r="BF286" s="20"/>
    </row>
    <row r="287" spans="8:58">
      <c r="H287" s="35">
        <v>2290</v>
      </c>
      <c r="I287" s="35">
        <f>299.930232*(1628/1602)</f>
        <v>304.79801354307114</v>
      </c>
      <c r="N287" s="58">
        <v>1320</v>
      </c>
      <c r="O287" s="58">
        <v>794559.99999999988</v>
      </c>
      <c r="AZ287" s="1"/>
      <c r="BA287" s="1"/>
      <c r="BE287" s="20"/>
      <c r="BF287" s="20"/>
    </row>
    <row r="288" spans="8:58">
      <c r="H288" s="35">
        <v>2295</v>
      </c>
      <c r="I288" s="35">
        <f>297.926676*(1628/1602)</f>
        <v>302.7619404044944</v>
      </c>
      <c r="N288" s="58">
        <v>1325</v>
      </c>
      <c r="O288" s="58">
        <v>789143.2</v>
      </c>
      <c r="AZ288" s="1"/>
      <c r="BA288" s="1"/>
      <c r="BE288" s="20"/>
      <c r="BF288" s="20"/>
    </row>
    <row r="289" spans="8:58">
      <c r="H289" s="35">
        <v>2300</v>
      </c>
      <c r="I289" s="35">
        <f>295.936716*(1628/1602)</f>
        <v>300.73968392509363</v>
      </c>
      <c r="N289" s="58">
        <v>1330</v>
      </c>
      <c r="O289" s="58">
        <v>783741.59999999986</v>
      </c>
      <c r="AZ289" s="1"/>
      <c r="BA289" s="1"/>
      <c r="BE289" s="20"/>
      <c r="BF289" s="20"/>
    </row>
    <row r="290" spans="8:58">
      <c r="H290" s="35">
        <v>2305</v>
      </c>
      <c r="I290" s="35">
        <f>293.961588*(1628/1602)</f>
        <v>298.73250016479403</v>
      </c>
      <c r="N290" s="58">
        <v>1335</v>
      </c>
      <c r="O290" s="58">
        <v>778356.8</v>
      </c>
      <c r="AZ290" s="1"/>
      <c r="BA290" s="1"/>
      <c r="BE290" s="20"/>
      <c r="BF290" s="20"/>
    </row>
    <row r="291" spans="8:58">
      <c r="H291" s="35">
        <v>2310</v>
      </c>
      <c r="I291" s="35">
        <f>292.002528*(1628/1602)</f>
        <v>296.74164518352057</v>
      </c>
      <c r="N291" s="58">
        <v>1340</v>
      </c>
      <c r="O291" s="58">
        <v>772988.79999999993</v>
      </c>
      <c r="AZ291" s="1"/>
      <c r="BA291" s="1"/>
      <c r="BE291" s="20"/>
      <c r="BF291" s="20"/>
    </row>
    <row r="292" spans="8:58">
      <c r="H292" s="35">
        <v>2315</v>
      </c>
      <c r="I292" s="35">
        <f>290.057064*(1628/1602)</f>
        <v>294.76460686142326</v>
      </c>
      <c r="N292" s="58">
        <v>1345</v>
      </c>
      <c r="O292" s="58">
        <v>767639.2</v>
      </c>
      <c r="AZ292" s="1"/>
      <c r="BA292" s="1"/>
      <c r="BE292" s="20"/>
      <c r="BF292" s="20"/>
    </row>
    <row r="293" spans="8:58">
      <c r="H293" s="35">
        <v>2320</v>
      </c>
      <c r="I293" s="35">
        <f>288.125196*(1628/1602)</f>
        <v>292.80138519850186</v>
      </c>
      <c r="N293" s="58">
        <v>1350</v>
      </c>
      <c r="O293" s="58">
        <v>762307.2</v>
      </c>
      <c r="AZ293" s="1"/>
      <c r="BA293" s="1"/>
      <c r="BE293" s="20"/>
      <c r="BF293" s="20"/>
    </row>
    <row r="294" spans="8:58">
      <c r="H294" s="35">
        <v>2325</v>
      </c>
      <c r="I294" s="35">
        <f>286.20816*(1628/1602)</f>
        <v>290.85323625468163</v>
      </c>
      <c r="N294" s="58">
        <v>1355</v>
      </c>
      <c r="O294" s="58">
        <v>756993.6</v>
      </c>
      <c r="AZ294" s="1"/>
      <c r="BA294" s="1"/>
      <c r="BE294" s="20"/>
      <c r="BF294" s="20"/>
    </row>
    <row r="295" spans="8:58">
      <c r="H295" s="35">
        <v>2330</v>
      </c>
      <c r="I295" s="35">
        <f>284.30472*(1628/1602)</f>
        <v>288.91890397003743</v>
      </c>
      <c r="N295" s="58">
        <v>1360</v>
      </c>
      <c r="O295" s="58">
        <v>751700</v>
      </c>
      <c r="AZ295" s="1"/>
      <c r="BA295" s="1"/>
      <c r="BE295" s="20"/>
      <c r="BF295" s="20"/>
    </row>
    <row r="296" spans="8:58">
      <c r="H296" s="35">
        <v>2335</v>
      </c>
      <c r="I296" s="35">
        <f>282.416112*(1628/1602)</f>
        <v>286.9996444044944</v>
      </c>
      <c r="N296" s="58">
        <v>1365</v>
      </c>
      <c r="O296" s="58">
        <v>746424.8</v>
      </c>
      <c r="AZ296" s="1"/>
      <c r="BA296" s="1"/>
      <c r="BE296" s="20"/>
      <c r="BF296" s="20"/>
    </row>
    <row r="297" spans="8:58">
      <c r="H297" s="35">
        <v>2340</v>
      </c>
      <c r="I297" s="35">
        <f>280.539864*(1628/1602)</f>
        <v>285.09294543820221</v>
      </c>
      <c r="N297" s="58">
        <v>1370</v>
      </c>
      <c r="O297" s="58">
        <v>741171.19999999995</v>
      </c>
      <c r="AZ297" s="1"/>
      <c r="BA297" s="1"/>
      <c r="BE297" s="20"/>
      <c r="BF297" s="20"/>
    </row>
    <row r="298" spans="8:58">
      <c r="H298" s="35">
        <v>2345</v>
      </c>
      <c r="I298" s="35">
        <f>278.678448*(1628/1602)</f>
        <v>283.20131919101124</v>
      </c>
      <c r="N298" s="58">
        <v>1375</v>
      </c>
      <c r="O298" s="58">
        <v>735936.79999999993</v>
      </c>
      <c r="AZ298" s="1"/>
      <c r="BA298" s="1"/>
      <c r="BE298" s="20"/>
      <c r="BF298" s="20"/>
    </row>
    <row r="299" spans="8:58">
      <c r="H299" s="35">
        <v>2350</v>
      </c>
      <c r="I299" s="35">
        <f>276.830628*(1628/1602)</f>
        <v>281.32350960299624</v>
      </c>
      <c r="N299" s="58">
        <v>1380</v>
      </c>
      <c r="O299" s="58">
        <v>730724.79999999993</v>
      </c>
      <c r="AZ299" s="1"/>
      <c r="BA299" s="1"/>
      <c r="BE299" s="20"/>
      <c r="BF299" s="20"/>
    </row>
    <row r="300" spans="8:58">
      <c r="H300" s="35">
        <v>2355</v>
      </c>
      <c r="I300" s="35">
        <f>274.996404*(1628/1602)</f>
        <v>279.45951667415727</v>
      </c>
      <c r="N300" s="58">
        <v>1385</v>
      </c>
      <c r="O300" s="58">
        <v>725532.79999999993</v>
      </c>
      <c r="AZ300" s="1"/>
      <c r="BA300" s="1"/>
      <c r="BE300" s="20"/>
      <c r="BF300" s="20"/>
    </row>
    <row r="301" spans="8:58">
      <c r="H301" s="35">
        <v>2360</v>
      </c>
      <c r="I301" s="35">
        <f>273.175776*(1628/1602)</f>
        <v>277.60934040449439</v>
      </c>
      <c r="N301" s="58">
        <v>1390</v>
      </c>
      <c r="O301" s="58">
        <v>720363.2</v>
      </c>
      <c r="AZ301" s="1"/>
      <c r="BA301" s="1"/>
      <c r="BE301" s="20"/>
      <c r="BF301" s="20"/>
    </row>
    <row r="302" spans="8:58">
      <c r="H302" s="35">
        <v>2365</v>
      </c>
      <c r="I302" s="35">
        <f>271.367508*(1628/1602)</f>
        <v>275.7717247340824</v>
      </c>
      <c r="N302" s="58">
        <v>1395</v>
      </c>
      <c r="O302" s="58">
        <v>715216</v>
      </c>
      <c r="AZ302" s="1"/>
      <c r="BA302" s="1"/>
      <c r="BE302" s="20"/>
      <c r="BF302" s="20"/>
    </row>
    <row r="303" spans="8:58">
      <c r="H303" s="35">
        <v>2370</v>
      </c>
      <c r="I303" s="35">
        <f>269.572836*(1628/1602)</f>
        <v>273.94792572284643</v>
      </c>
      <c r="N303" s="58">
        <v>1400</v>
      </c>
      <c r="O303" s="58">
        <v>710091.2</v>
      </c>
      <c r="AZ303" s="1"/>
      <c r="BA303" s="1"/>
      <c r="BE303" s="20"/>
      <c r="BF303" s="20"/>
    </row>
    <row r="304" spans="8:58">
      <c r="H304" s="35">
        <v>2375</v>
      </c>
      <c r="I304" s="35">
        <f>267.79176*(1628/1602)</f>
        <v>272.13794337078656</v>
      </c>
      <c r="AZ304" s="1"/>
      <c r="BA304" s="1"/>
    </row>
    <row r="305" spans="8:53">
      <c r="H305" s="35">
        <v>2380</v>
      </c>
      <c r="I305" s="35">
        <f>266.023044*(1628/1602)</f>
        <v>270.34052161797752</v>
      </c>
      <c r="AZ305" s="1"/>
      <c r="BA305" s="1"/>
    </row>
    <row r="306" spans="8:53">
      <c r="H306" s="35">
        <v>2385</v>
      </c>
      <c r="I306" s="35">
        <f>264.267924*(1628/1602)</f>
        <v>268.55691652434456</v>
      </c>
      <c r="AZ306" s="1"/>
      <c r="BA306" s="1"/>
    </row>
    <row r="307" spans="8:53">
      <c r="H307" s="35">
        <v>2390</v>
      </c>
      <c r="I307" s="35">
        <f>262.525164*(1628/1602)</f>
        <v>266.78587202996249</v>
      </c>
      <c r="AZ307" s="1"/>
      <c r="BA307" s="1"/>
    </row>
    <row r="308" spans="8:53">
      <c r="H308" s="35">
        <v>2395</v>
      </c>
      <c r="I308" s="35">
        <f>260.796*(1628/1602)</f>
        <v>265.02864419475657</v>
      </c>
      <c r="AZ308" s="1"/>
      <c r="BA308" s="1"/>
    </row>
    <row r="309" spans="8:53">
      <c r="H309" s="35">
        <v>2400</v>
      </c>
      <c r="I309" s="35">
        <f>259.079196*(1628/1602)</f>
        <v>263.28397695880147</v>
      </c>
      <c r="AZ309" s="1"/>
      <c r="BA309" s="1"/>
    </row>
    <row r="310" spans="8:53">
      <c r="H310" s="35">
        <v>2405</v>
      </c>
      <c r="I310" s="35">
        <f>257.345088*(1628/1602)</f>
        <v>261.52172488389516</v>
      </c>
      <c r="AZ310" s="1"/>
      <c r="BA310" s="1"/>
    </row>
    <row r="311" spans="8:53">
      <c r="H311" s="35">
        <v>2410</v>
      </c>
      <c r="I311" s="35">
        <f>255.62334*(1628/1602)</f>
        <v>259.77203340823968</v>
      </c>
      <c r="AZ311" s="1"/>
      <c r="BA311" s="1"/>
    </row>
    <row r="312" spans="8:53">
      <c r="H312" s="35">
        <v>2415</v>
      </c>
      <c r="I312" s="35">
        <f>253.916424*(1628/1602)</f>
        <v>258.03741465168537</v>
      </c>
      <c r="AZ312" s="1"/>
      <c r="BA312" s="1"/>
    </row>
    <row r="313" spans="8:53">
      <c r="H313" s="35">
        <v>2420</v>
      </c>
      <c r="I313" s="35">
        <f>252.220632*(1628/1602)</f>
        <v>256.31410043445692</v>
      </c>
      <c r="AZ313" s="1"/>
      <c r="BA313" s="1"/>
    </row>
    <row r="314" spans="8:53">
      <c r="H314" s="35">
        <v>2425</v>
      </c>
      <c r="I314" s="35">
        <f>250.5372*(1628/1602)</f>
        <v>254.60334681647939</v>
      </c>
      <c r="AZ314" s="1"/>
      <c r="BA314" s="1"/>
    </row>
    <row r="315" spans="8:53">
      <c r="H315" s="35">
        <v>2430</v>
      </c>
      <c r="I315" s="35">
        <f>248.866128*(1628/1602)</f>
        <v>252.9051537977528</v>
      </c>
      <c r="AZ315" s="1"/>
      <c r="BA315" s="1"/>
    </row>
    <row r="316" spans="8:53">
      <c r="H316" s="35">
        <v>2435</v>
      </c>
      <c r="I316" s="35">
        <f>247.207416*(1628/1602)</f>
        <v>251.21952137827714</v>
      </c>
      <c r="AZ316" s="1"/>
      <c r="BA316" s="1"/>
    </row>
    <row r="317" spans="8:53">
      <c r="H317" s="35">
        <v>2440</v>
      </c>
      <c r="I317" s="35">
        <f>245.561064*(1628/1602)</f>
        <v>249.54644955805244</v>
      </c>
      <c r="AZ317" s="1"/>
      <c r="BA317" s="1"/>
    </row>
    <row r="318" spans="8:53">
      <c r="H318" s="35">
        <v>2445</v>
      </c>
      <c r="I318" s="35">
        <f>243.927072*(1628/1602)</f>
        <v>247.88593833707864</v>
      </c>
      <c r="AZ318" s="1"/>
      <c r="BA318" s="1"/>
    </row>
    <row r="319" spans="8:53">
      <c r="H319" s="35">
        <v>2450</v>
      </c>
      <c r="I319" s="35">
        <f>242.304204*(1628/1602)</f>
        <v>246.2367316554307</v>
      </c>
      <c r="AZ319" s="1"/>
      <c r="BA319" s="1"/>
    </row>
    <row r="320" spans="8:53">
      <c r="H320" s="35">
        <v>2455</v>
      </c>
      <c r="I320" s="35">
        <f>240.694932*(1628/1602)</f>
        <v>244.60134163295879</v>
      </c>
      <c r="AZ320" s="1"/>
      <c r="BA320" s="1"/>
    </row>
    <row r="321" spans="8:53">
      <c r="H321" s="35">
        <v>2460</v>
      </c>
      <c r="I321" s="35">
        <f>239.095548*(1628/1602)</f>
        <v>242.97600008988766</v>
      </c>
      <c r="AZ321" s="1"/>
      <c r="BA321" s="1"/>
    </row>
    <row r="322" spans="8:53">
      <c r="H322" s="35">
        <v>2465</v>
      </c>
      <c r="I322" s="35">
        <f>237.508524*(1628/1602)</f>
        <v>241.36321914606742</v>
      </c>
      <c r="AZ322" s="1"/>
      <c r="BA322" s="1"/>
    </row>
    <row r="323" spans="8:53">
      <c r="H323" s="35">
        <v>2470</v>
      </c>
      <c r="I323" s="35">
        <f>235.93386*(1628/1602)</f>
        <v>239.76299880149813</v>
      </c>
      <c r="AZ323" s="1"/>
      <c r="BA323" s="1"/>
    </row>
    <row r="324" spans="8:53">
      <c r="H324" s="35">
        <v>2475</v>
      </c>
      <c r="I324" s="35">
        <f>234.369084*(1628/1602)</f>
        <v>238.17282693632959</v>
      </c>
      <c r="AZ324" s="1"/>
      <c r="BA324" s="1"/>
    </row>
    <row r="325" spans="8:53">
      <c r="H325" s="35">
        <v>2480</v>
      </c>
      <c r="I325" s="35">
        <f>232.817904*(1628/1602)</f>
        <v>236.59647173033716</v>
      </c>
      <c r="AZ325" s="1"/>
      <c r="BA325" s="1"/>
    </row>
    <row r="326" spans="8:53">
      <c r="H326" s="35">
        <v>2485</v>
      </c>
      <c r="I326" s="35">
        <f>231.276612*(1628/1602)</f>
        <v>235.03016500374534</v>
      </c>
      <c r="AZ326" s="1"/>
      <c r="BA326" s="1"/>
    </row>
    <row r="327" spans="8:53">
      <c r="H327" s="35">
        <v>2490</v>
      </c>
      <c r="I327" s="35">
        <f>229.746444*(1628/1602)</f>
        <v>233.47516281647941</v>
      </c>
      <c r="AZ327" s="1"/>
      <c r="BA327" s="1"/>
    </row>
    <row r="328" spans="8:53">
      <c r="H328" s="35">
        <v>2495</v>
      </c>
      <c r="I328" s="35">
        <f>228.228636*(1628/1602)</f>
        <v>231.93272122846446</v>
      </c>
      <c r="AZ328" s="1"/>
      <c r="BA328" s="1"/>
    </row>
    <row r="329" spans="8:53">
      <c r="H329" s="35">
        <v>2500</v>
      </c>
      <c r="I329" s="35">
        <f>226.720716*(1628/1602)</f>
        <v>230.40032811985017</v>
      </c>
      <c r="AZ329" s="1"/>
      <c r="BA329" s="1"/>
    </row>
    <row r="330" spans="8:53">
      <c r="H330" s="35">
        <v>2505</v>
      </c>
      <c r="I330" s="35">
        <f>225.22392*(1628/1602)</f>
        <v>228.87923955056181</v>
      </c>
      <c r="AZ330" s="1"/>
      <c r="BA330" s="1"/>
    </row>
    <row r="331" spans="8:53">
      <c r="H331" s="35">
        <v>2510</v>
      </c>
      <c r="I331" s="35">
        <f>223.739484*(1628/1602)</f>
        <v>227.37071158052436</v>
      </c>
      <c r="AZ331" s="1"/>
      <c r="BA331" s="1"/>
    </row>
    <row r="332" spans="8:53">
      <c r="H332" s="35">
        <v>2515</v>
      </c>
      <c r="I332" s="35">
        <f>222.264936*(1628/1602)</f>
        <v>225.87223208988766</v>
      </c>
      <c r="AZ332" s="1"/>
      <c r="BA332" s="1"/>
    </row>
    <row r="333" spans="8:53">
      <c r="H333" s="35">
        <v>2520</v>
      </c>
      <c r="I333" s="35">
        <f>220.800276*(1628/1602)</f>
        <v>224.38380107865169</v>
      </c>
      <c r="AZ333" s="1"/>
      <c r="BA333" s="1"/>
    </row>
    <row r="334" spans="8:53">
      <c r="H334" s="35">
        <v>2525</v>
      </c>
      <c r="I334" s="35">
        <f>219.34674*(1628/1602)</f>
        <v>222.9066746067416</v>
      </c>
      <c r="AZ334" s="1"/>
      <c r="BA334" s="1"/>
    </row>
    <row r="335" spans="8:53">
      <c r="H335" s="35">
        <v>2530</v>
      </c>
      <c r="I335" s="35">
        <f>217.904328*(1628/1602)</f>
        <v>221.4408526741573</v>
      </c>
      <c r="AZ335" s="1"/>
      <c r="BA335" s="1"/>
    </row>
    <row r="336" spans="8:53">
      <c r="H336" s="35">
        <v>2535</v>
      </c>
      <c r="I336" s="35">
        <f>216.471804*(1628/1602)</f>
        <v>219.98507922097377</v>
      </c>
      <c r="AZ336" s="1"/>
      <c r="BA336" s="1"/>
    </row>
    <row r="337" spans="8:53">
      <c r="H337" s="35">
        <v>2540</v>
      </c>
      <c r="I337" s="35">
        <f>215.050404*(1628/1602)</f>
        <v>218.54061030711614</v>
      </c>
      <c r="AZ337" s="1"/>
      <c r="BA337" s="1"/>
    </row>
    <row r="338" spans="8:53">
      <c r="H338" s="35">
        <v>2545</v>
      </c>
      <c r="I338" s="35">
        <f>213.638892*(1628/1602)</f>
        <v>217.10618987265917</v>
      </c>
      <c r="AZ338" s="1"/>
      <c r="BA338" s="1"/>
    </row>
    <row r="339" spans="8:53">
      <c r="H339" s="35">
        <v>2550</v>
      </c>
      <c r="I339" s="35">
        <f>212.237268*(1628/1602)</f>
        <v>215.68181791760304</v>
      </c>
      <c r="S339" s="33">
        <f>H119</f>
        <v>0</v>
      </c>
      <c r="T339" s="33">
        <f t="shared" ref="T335:T398" si="14">IF(I118=0,0,I118/$Q$51)</f>
        <v>0</v>
      </c>
      <c r="V339" s="33">
        <f t="shared" ref="V334:W397" si="15">S339</f>
        <v>0</v>
      </c>
      <c r="W339" s="33">
        <f t="shared" si="15"/>
        <v>0</v>
      </c>
    </row>
    <row r="340" spans="8:53">
      <c r="H340" s="35">
        <v>2555</v>
      </c>
      <c r="I340" s="35">
        <f>210.845532*(1628/1602)</f>
        <v>214.2674944419476</v>
      </c>
      <c r="S340" s="33">
        <f>H120</f>
        <v>0</v>
      </c>
      <c r="T340" s="33">
        <f t="shared" si="14"/>
        <v>0</v>
      </c>
      <c r="V340" s="33">
        <f t="shared" si="15"/>
        <v>0</v>
      </c>
      <c r="W340" s="33">
        <f t="shared" si="15"/>
        <v>0</v>
      </c>
    </row>
    <row r="341" spans="8:53">
      <c r="H341" s="35">
        <v>2560</v>
      </c>
      <c r="I341" s="35">
        <f>209.46492*(1628/1602)</f>
        <v>212.86447550561797</v>
      </c>
      <c r="S341" s="33">
        <f>H121</f>
        <v>0</v>
      </c>
      <c r="T341" s="33">
        <f t="shared" si="14"/>
        <v>0</v>
      </c>
      <c r="V341" s="33">
        <f t="shared" si="15"/>
        <v>0</v>
      </c>
      <c r="W341" s="33">
        <f t="shared" si="15"/>
        <v>0</v>
      </c>
    </row>
    <row r="342" spans="8:53">
      <c r="H342" s="35">
        <v>2565</v>
      </c>
      <c r="I342" s="35">
        <f>208.094196*(1628/1602)</f>
        <v>211.47150504868912</v>
      </c>
      <c r="S342" s="33">
        <f>H122</f>
        <v>0</v>
      </c>
      <c r="T342" s="33">
        <f t="shared" si="14"/>
        <v>0</v>
      </c>
      <c r="V342" s="33">
        <f t="shared" si="15"/>
        <v>0</v>
      </c>
      <c r="W342" s="33">
        <f t="shared" si="15"/>
        <v>0</v>
      </c>
    </row>
    <row r="343" spans="8:53">
      <c r="H343" s="35">
        <v>2570</v>
      </c>
      <c r="I343" s="35">
        <f>206.732124*(1628/1602)</f>
        <v>210.08732701123594</v>
      </c>
      <c r="S343" s="33">
        <f>H123</f>
        <v>0</v>
      </c>
      <c r="T343" s="33">
        <f t="shared" si="14"/>
        <v>0</v>
      </c>
      <c r="V343" s="33">
        <f t="shared" si="15"/>
        <v>0</v>
      </c>
      <c r="W343" s="33">
        <f t="shared" si="15"/>
        <v>0</v>
      </c>
    </row>
    <row r="344" spans="8:53">
      <c r="H344" s="35">
        <v>2575</v>
      </c>
      <c r="I344" s="35">
        <f>205.381176*(1628/1602)</f>
        <v>208.71445351310859</v>
      </c>
      <c r="S344" s="33">
        <f>H124</f>
        <v>0</v>
      </c>
      <c r="T344" s="33">
        <f t="shared" si="14"/>
        <v>0</v>
      </c>
      <c r="V344" s="33">
        <f t="shared" si="15"/>
        <v>0</v>
      </c>
      <c r="W344" s="33">
        <f t="shared" si="15"/>
        <v>0</v>
      </c>
    </row>
    <row r="345" spans="8:53">
      <c r="H345" s="35">
        <v>2580</v>
      </c>
      <c r="I345" s="35">
        <f>204.040116*(1628/1602)</f>
        <v>207.35162849438203</v>
      </c>
      <c r="S345" s="33">
        <f>H125</f>
        <v>0</v>
      </c>
      <c r="T345" s="33">
        <f t="shared" si="14"/>
        <v>0</v>
      </c>
      <c r="V345" s="33">
        <f t="shared" si="15"/>
        <v>0</v>
      </c>
      <c r="W345" s="33">
        <f t="shared" si="15"/>
        <v>0</v>
      </c>
    </row>
    <row r="346" spans="8:53">
      <c r="H346" s="35">
        <v>2585</v>
      </c>
      <c r="I346" s="35">
        <f>202.707708*(1628/1602)</f>
        <v>205.9975958951311</v>
      </c>
      <c r="S346" s="33">
        <f>H126</f>
        <v>0</v>
      </c>
      <c r="T346" s="33">
        <f t="shared" si="14"/>
        <v>0</v>
      </c>
      <c r="V346" s="33">
        <f t="shared" si="15"/>
        <v>0</v>
      </c>
      <c r="W346" s="33">
        <f t="shared" si="15"/>
        <v>0</v>
      </c>
    </row>
    <row r="347" spans="8:53">
      <c r="H347" s="35">
        <v>2590</v>
      </c>
      <c r="I347" s="35">
        <f>201.386424*(1628/1602)</f>
        <v>204.65486783520598</v>
      </c>
      <c r="S347" s="33">
        <f>H127</f>
        <v>0</v>
      </c>
      <c r="T347" s="33">
        <f t="shared" si="14"/>
        <v>0</v>
      </c>
      <c r="V347" s="33">
        <f t="shared" si="15"/>
        <v>0</v>
      </c>
      <c r="W347" s="33">
        <f t="shared" si="15"/>
        <v>0</v>
      </c>
    </row>
    <row r="348" spans="8:53">
      <c r="H348" s="35">
        <v>2595</v>
      </c>
      <c r="I348" s="35">
        <f>200.073792*(1628/1602)</f>
        <v>203.32093219475655</v>
      </c>
      <c r="S348" s="33">
        <f>H128</f>
        <v>0</v>
      </c>
      <c r="T348" s="33">
        <f t="shared" si="14"/>
        <v>0</v>
      </c>
      <c r="V348" s="33">
        <f t="shared" si="15"/>
        <v>0</v>
      </c>
      <c r="W348" s="33">
        <f t="shared" si="15"/>
        <v>0</v>
      </c>
    </row>
    <row r="349" spans="8:53">
      <c r="H349" s="35">
        <v>2600</v>
      </c>
      <c r="I349" s="35">
        <f>198.769812*(1628/1602)</f>
        <v>201.99578897378279</v>
      </c>
      <c r="S349" s="33">
        <f>H129</f>
        <v>0</v>
      </c>
      <c r="T349" s="33">
        <f t="shared" si="14"/>
        <v>0</v>
      </c>
      <c r="V349" s="33">
        <f t="shared" si="15"/>
        <v>0</v>
      </c>
      <c r="W349" s="33">
        <f t="shared" si="15"/>
        <v>0</v>
      </c>
    </row>
    <row r="350" spans="8:53">
      <c r="H350" s="35">
        <v>2605</v>
      </c>
      <c r="I350" s="35">
        <f>197.464596*(1628/1602)</f>
        <v>200.6693896928839</v>
      </c>
      <c r="S350" s="33">
        <f>H130</f>
        <v>0</v>
      </c>
      <c r="T350" s="33">
        <f t="shared" si="14"/>
        <v>0</v>
      </c>
      <c r="V350" s="33">
        <f t="shared" si="15"/>
        <v>0</v>
      </c>
      <c r="W350" s="33">
        <f t="shared" si="15"/>
        <v>0</v>
      </c>
    </row>
    <row r="351" spans="8:53">
      <c r="H351" s="35">
        <v>2610</v>
      </c>
      <c r="I351" s="35">
        <f>196.169268*(1628/1602)</f>
        <v>199.35303889138578</v>
      </c>
      <c r="S351" s="33">
        <f>H131</f>
        <v>0</v>
      </c>
      <c r="T351" s="33">
        <f t="shared" si="14"/>
        <v>0</v>
      </c>
      <c r="V351" s="33">
        <f t="shared" si="15"/>
        <v>0</v>
      </c>
      <c r="W351" s="33">
        <f t="shared" si="15"/>
        <v>0</v>
      </c>
    </row>
    <row r="352" spans="8:53">
      <c r="H352" s="35">
        <v>2615</v>
      </c>
      <c r="I352" s="35">
        <f>194.882592*(1628/1602)</f>
        <v>198.04548050936333</v>
      </c>
      <c r="S352" s="33">
        <f>H132</f>
        <v>0</v>
      </c>
      <c r="T352" s="33">
        <f t="shared" si="14"/>
        <v>0</v>
      </c>
      <c r="V352" s="33">
        <f t="shared" si="15"/>
        <v>0</v>
      </c>
      <c r="W352" s="33">
        <f t="shared" si="15"/>
        <v>0</v>
      </c>
    </row>
    <row r="353" spans="8:23">
      <c r="H353" s="35">
        <v>2620</v>
      </c>
      <c r="I353" s="35">
        <f>193.605804*(1628/1602)</f>
        <v>196.74797060674157</v>
      </c>
      <c r="S353" s="33">
        <f>H133</f>
        <v>0</v>
      </c>
      <c r="T353" s="33">
        <f t="shared" si="14"/>
        <v>0</v>
      </c>
      <c r="V353" s="33">
        <f t="shared" si="15"/>
        <v>0</v>
      </c>
      <c r="W353" s="33">
        <f t="shared" si="15"/>
        <v>0</v>
      </c>
    </row>
    <row r="354" spans="8:23">
      <c r="H354" s="35">
        <v>2625</v>
      </c>
      <c r="I354" s="35">
        <f>192.337668*(1628/1602)</f>
        <v>195.45925312359549</v>
      </c>
      <c r="S354" s="33">
        <f>H134</f>
        <v>0</v>
      </c>
      <c r="T354" s="33">
        <f t="shared" si="14"/>
        <v>0</v>
      </c>
      <c r="V354" s="33">
        <f t="shared" si="15"/>
        <v>0</v>
      </c>
      <c r="W354" s="33">
        <f t="shared" si="15"/>
        <v>0</v>
      </c>
    </row>
    <row r="355" spans="8:23">
      <c r="H355" s="35">
        <v>2630</v>
      </c>
      <c r="I355" s="35">
        <f>191.07942*(1628/1602)</f>
        <v>194.18058411985018</v>
      </c>
      <c r="S355" s="33">
        <f>H135</f>
        <v>0</v>
      </c>
      <c r="T355" s="33">
        <f t="shared" si="14"/>
        <v>0</v>
      </c>
      <c r="V355" s="33">
        <f t="shared" si="15"/>
        <v>0</v>
      </c>
      <c r="W355" s="33">
        <f t="shared" si="15"/>
        <v>0</v>
      </c>
    </row>
    <row r="356" spans="8:23">
      <c r="H356" s="35">
        <v>2635</v>
      </c>
      <c r="I356" s="35">
        <f>189.829824*(1628/1602)</f>
        <v>192.91070753558051</v>
      </c>
      <c r="S356" s="33">
        <f>H136</f>
        <v>0</v>
      </c>
      <c r="T356" s="33">
        <f t="shared" si="14"/>
        <v>0</v>
      </c>
      <c r="V356" s="33">
        <f t="shared" si="15"/>
        <v>0</v>
      </c>
      <c r="W356" s="33">
        <f t="shared" si="15"/>
        <v>0</v>
      </c>
    </row>
    <row r="357" spans="8:23">
      <c r="H357" s="35">
        <v>2640</v>
      </c>
      <c r="I357" s="35">
        <f>188.58888*(1628/1602)</f>
        <v>191.64962337078651</v>
      </c>
      <c r="S357" s="33">
        <f>H137</f>
        <v>0</v>
      </c>
      <c r="T357" s="33">
        <f t="shared" si="14"/>
        <v>0</v>
      </c>
      <c r="V357" s="33">
        <f t="shared" si="15"/>
        <v>0</v>
      </c>
      <c r="W357" s="33">
        <f t="shared" si="15"/>
        <v>0</v>
      </c>
    </row>
    <row r="358" spans="8:23">
      <c r="H358" s="35">
        <v>2645</v>
      </c>
      <c r="I358" s="35">
        <f>187.356588*(1628/1602)</f>
        <v>190.39733162546815</v>
      </c>
      <c r="S358" s="33">
        <f>H138</f>
        <v>0</v>
      </c>
      <c r="T358" s="33">
        <f t="shared" si="14"/>
        <v>0</v>
      </c>
      <c r="V358" s="33">
        <f t="shared" si="15"/>
        <v>0</v>
      </c>
      <c r="W358" s="33">
        <f t="shared" si="15"/>
        <v>0</v>
      </c>
    </row>
    <row r="359" spans="8:23">
      <c r="H359" s="35">
        <v>2650</v>
      </c>
      <c r="I359" s="35">
        <f>186.134184*(1628/1602)</f>
        <v>189.15508835955058</v>
      </c>
      <c r="S359" s="33">
        <f>H139</f>
        <v>0</v>
      </c>
      <c r="T359" s="33">
        <f t="shared" si="14"/>
        <v>0</v>
      </c>
      <c r="V359" s="33">
        <f t="shared" si="15"/>
        <v>0</v>
      </c>
      <c r="W359" s="33">
        <f t="shared" si="15"/>
        <v>0</v>
      </c>
    </row>
    <row r="360" spans="8:23">
      <c r="H360" s="35">
        <v>2655</v>
      </c>
      <c r="I360" s="35">
        <f>184.920432*(1628/1602)</f>
        <v>187.92163751310864</v>
      </c>
      <c r="S360" s="33">
        <f>H140</f>
        <v>0</v>
      </c>
      <c r="T360" s="33">
        <f t="shared" si="14"/>
        <v>0</v>
      </c>
      <c r="V360" s="33">
        <f t="shared" si="15"/>
        <v>0</v>
      </c>
      <c r="W360" s="33">
        <f t="shared" si="15"/>
        <v>0</v>
      </c>
    </row>
    <row r="361" spans="8:23">
      <c r="H361" s="35">
        <v>2660</v>
      </c>
      <c r="I361" s="35">
        <f>183.714096*(1628/1602)</f>
        <v>186.69572302621722</v>
      </c>
      <c r="S361" s="33">
        <f>H141</f>
        <v>0</v>
      </c>
      <c r="T361" s="33">
        <f t="shared" si="14"/>
        <v>0</v>
      </c>
      <c r="V361" s="33">
        <f t="shared" si="15"/>
        <v>0</v>
      </c>
      <c r="W361" s="33">
        <f t="shared" si="15"/>
        <v>0</v>
      </c>
    </row>
    <row r="362" spans="8:23">
      <c r="H362" s="35">
        <v>2665</v>
      </c>
      <c r="I362" s="35">
        <f>182.517648*(1628/1602)</f>
        <v>185.47985701872659</v>
      </c>
      <c r="S362" s="33">
        <f>H142</f>
        <v>0</v>
      </c>
      <c r="T362" s="33">
        <f t="shared" si="14"/>
        <v>0</v>
      </c>
      <c r="V362" s="33">
        <f t="shared" si="15"/>
        <v>0</v>
      </c>
      <c r="W362" s="33">
        <f t="shared" si="15"/>
        <v>0</v>
      </c>
    </row>
    <row r="363" spans="8:23">
      <c r="H363" s="35">
        <v>2670</v>
      </c>
      <c r="I363" s="35">
        <f>181.329852*(1628/1602)</f>
        <v>184.2727834307116</v>
      </c>
      <c r="S363" s="33">
        <f>H143</f>
        <v>0</v>
      </c>
      <c r="T363" s="33">
        <f t="shared" si="14"/>
        <v>0</v>
      </c>
      <c r="V363" s="33">
        <f t="shared" si="15"/>
        <v>0</v>
      </c>
      <c r="W363" s="33">
        <f t="shared" si="15"/>
        <v>0</v>
      </c>
    </row>
    <row r="364" spans="8:23">
      <c r="H364" s="35">
        <v>2675</v>
      </c>
      <c r="I364" s="35">
        <f>180.150708*(1628/1602)</f>
        <v>183.0745022621723</v>
      </c>
      <c r="S364" s="33">
        <f>H144</f>
        <v>0</v>
      </c>
      <c r="T364" s="33">
        <f t="shared" si="14"/>
        <v>0</v>
      </c>
      <c r="V364" s="33">
        <f t="shared" si="15"/>
        <v>0</v>
      </c>
      <c r="W364" s="33">
        <f t="shared" si="15"/>
        <v>0</v>
      </c>
    </row>
    <row r="365" spans="8:23">
      <c r="H365" s="35">
        <v>2680</v>
      </c>
      <c r="I365" s="35">
        <f>178.97898*(1628/1602)</f>
        <v>181.88375745318353</v>
      </c>
      <c r="S365" s="33">
        <f>H145</f>
        <v>0</v>
      </c>
      <c r="T365" s="33">
        <f t="shared" si="14"/>
        <v>0</v>
      </c>
      <c r="V365" s="33">
        <f t="shared" si="15"/>
        <v>0</v>
      </c>
      <c r="W365" s="33">
        <f t="shared" si="15"/>
        <v>0</v>
      </c>
    </row>
    <row r="366" spans="8:23">
      <c r="H366" s="35">
        <v>2685</v>
      </c>
      <c r="I366" s="35">
        <f>177.81714*(1628/1602)</f>
        <v>180.70306112359552</v>
      </c>
      <c r="S366" s="33">
        <f>H146</f>
        <v>0</v>
      </c>
      <c r="T366" s="33">
        <f t="shared" si="14"/>
        <v>0</v>
      </c>
      <c r="V366" s="33">
        <f t="shared" si="15"/>
        <v>0</v>
      </c>
      <c r="W366" s="33">
        <f t="shared" si="15"/>
        <v>0</v>
      </c>
    </row>
    <row r="367" spans="8:23">
      <c r="H367" s="35">
        <v>2690</v>
      </c>
      <c r="I367" s="35">
        <f>176.662716*(1628/1602)</f>
        <v>179.52990115355806</v>
      </c>
      <c r="S367" s="33">
        <f>H147</f>
        <v>0</v>
      </c>
      <c r="T367" s="33">
        <f t="shared" si="14"/>
        <v>0</v>
      </c>
      <c r="V367" s="33">
        <f t="shared" si="15"/>
        <v>0</v>
      </c>
      <c r="W367" s="33">
        <f t="shared" si="15"/>
        <v>0</v>
      </c>
    </row>
    <row r="368" spans="8:23">
      <c r="H368" s="35">
        <v>2695</v>
      </c>
      <c r="I368" s="35">
        <f>175.516944*(1628/1602)</f>
        <v>178.36553360299627</v>
      </c>
      <c r="S368" s="33">
        <f>H148</f>
        <v>0</v>
      </c>
      <c r="T368" s="33">
        <f t="shared" si="14"/>
        <v>0</v>
      </c>
      <c r="V368" s="33">
        <f t="shared" si="15"/>
        <v>0</v>
      </c>
      <c r="W368" s="33">
        <f t="shared" si="15"/>
        <v>0</v>
      </c>
    </row>
    <row r="369" spans="8:23">
      <c r="H369" s="35">
        <v>2700</v>
      </c>
      <c r="I369" s="35">
        <f>174.378588*(1628/1602)</f>
        <v>177.208702411985</v>
      </c>
      <c r="S369" s="33">
        <f>H149</f>
        <v>0</v>
      </c>
      <c r="T369" s="33">
        <f t="shared" si="14"/>
        <v>0</v>
      </c>
      <c r="V369" s="33">
        <f t="shared" si="15"/>
        <v>0</v>
      </c>
      <c r="W369" s="33">
        <f t="shared" si="15"/>
        <v>0</v>
      </c>
    </row>
    <row r="370" spans="8:23">
      <c r="H370" s="35">
        <v>2705</v>
      </c>
      <c r="I370" s="35">
        <f>173.248884*(1628/1602)</f>
        <v>176.06066364044943</v>
      </c>
      <c r="S370" s="33">
        <f>H150</f>
        <v>0</v>
      </c>
      <c r="T370" s="33">
        <f t="shared" si="14"/>
        <v>0</v>
      </c>
      <c r="V370" s="33">
        <f t="shared" si="15"/>
        <v>0</v>
      </c>
      <c r="W370" s="33">
        <f t="shared" si="15"/>
        <v>0</v>
      </c>
    </row>
    <row r="371" spans="8:23">
      <c r="H371" s="35">
        <v>2710</v>
      </c>
      <c r="I371" s="35">
        <f>172.126596*(1628/1602)</f>
        <v>174.92016122846439</v>
      </c>
      <c r="S371" s="33">
        <f>H151</f>
        <v>0</v>
      </c>
      <c r="T371" s="33">
        <f t="shared" si="14"/>
        <v>0</v>
      </c>
      <c r="V371" s="33">
        <f t="shared" si="15"/>
        <v>0</v>
      </c>
      <c r="W371" s="33">
        <f t="shared" si="15"/>
        <v>0</v>
      </c>
    </row>
    <row r="372" spans="8:23">
      <c r="H372" s="35">
        <v>2715</v>
      </c>
      <c r="I372" s="35">
        <f>171.014196*(1628/1602)</f>
        <v>173.78970729588016</v>
      </c>
      <c r="S372" s="33">
        <f>H152</f>
        <v>0</v>
      </c>
      <c r="T372" s="33">
        <f t="shared" si="14"/>
        <v>0</v>
      </c>
      <c r="V372" s="33">
        <f t="shared" si="15"/>
        <v>0</v>
      </c>
      <c r="W372" s="33">
        <f t="shared" si="15"/>
        <v>0</v>
      </c>
    </row>
    <row r="373" spans="8:23">
      <c r="H373" s="35">
        <v>2720</v>
      </c>
      <c r="I373" s="35">
        <f>169.907976*(1628/1602)</f>
        <v>172.66553366292135</v>
      </c>
      <c r="S373" s="33">
        <f>H153</f>
        <v>0</v>
      </c>
      <c r="T373" s="33">
        <f t="shared" si="14"/>
        <v>0</v>
      </c>
      <c r="V373" s="33">
        <f t="shared" si="15"/>
        <v>0</v>
      </c>
      <c r="W373" s="33">
        <f t="shared" si="15"/>
        <v>0</v>
      </c>
    </row>
    <row r="374" spans="8:23">
      <c r="H374" s="35">
        <v>2725</v>
      </c>
      <c r="I374" s="35">
        <f>168.810408*(1628/1602)</f>
        <v>171.5501524494382</v>
      </c>
      <c r="S374" s="33">
        <f>H154</f>
        <v>0</v>
      </c>
      <c r="T374" s="33">
        <f t="shared" si="14"/>
        <v>0</v>
      </c>
      <c r="V374" s="33">
        <f t="shared" si="15"/>
        <v>0</v>
      </c>
      <c r="W374" s="33">
        <f t="shared" si="15"/>
        <v>0</v>
      </c>
    </row>
    <row r="375" spans="8:23">
      <c r="H375" s="35">
        <v>2730</v>
      </c>
      <c r="I375" s="35">
        <f>167.720256*(1628/1602)</f>
        <v>170.44230759550561</v>
      </c>
      <c r="S375" s="33">
        <f>H155</f>
        <v>0</v>
      </c>
      <c r="T375" s="33">
        <f t="shared" si="14"/>
        <v>0</v>
      </c>
      <c r="V375" s="33">
        <f t="shared" si="15"/>
        <v>0</v>
      </c>
      <c r="W375" s="33">
        <f t="shared" si="15"/>
        <v>0</v>
      </c>
    </row>
    <row r="376" spans="8:23">
      <c r="H376" s="35">
        <v>2735</v>
      </c>
      <c r="I376" s="35">
        <f>166.63752*(1628/1602)</f>
        <v>169.3419991011236</v>
      </c>
      <c r="S376" s="33">
        <f>H156</f>
        <v>0</v>
      </c>
      <c r="T376" s="33">
        <f t="shared" si="14"/>
        <v>0</v>
      </c>
      <c r="V376" s="33">
        <f t="shared" si="15"/>
        <v>0</v>
      </c>
      <c r="W376" s="33">
        <f t="shared" si="15"/>
        <v>0</v>
      </c>
    </row>
    <row r="377" spans="8:23">
      <c r="H377" s="35">
        <v>2740</v>
      </c>
      <c r="I377" s="35">
        <f>165.563436*(1628/1602)</f>
        <v>168.25048302621724</v>
      </c>
      <c r="S377" s="33">
        <f>H157</f>
        <v>0</v>
      </c>
      <c r="T377" s="33">
        <f t="shared" si="14"/>
        <v>0</v>
      </c>
      <c r="V377" s="33">
        <f t="shared" si="15"/>
        <v>0</v>
      </c>
      <c r="W377" s="33">
        <f t="shared" si="15"/>
        <v>0</v>
      </c>
    </row>
    <row r="378" spans="8:23">
      <c r="H378" s="35">
        <v>2745</v>
      </c>
      <c r="I378" s="35">
        <f>164.498004*(1628/1602)</f>
        <v>167.16775937078651</v>
      </c>
      <c r="S378" s="33">
        <f>H158</f>
        <v>0</v>
      </c>
      <c r="T378" s="33">
        <f t="shared" si="14"/>
        <v>0</v>
      </c>
      <c r="V378" s="33">
        <f t="shared" si="15"/>
        <v>0</v>
      </c>
      <c r="W378" s="33">
        <f t="shared" si="15"/>
        <v>0</v>
      </c>
    </row>
    <row r="379" spans="8:23">
      <c r="H379" s="35">
        <v>2750</v>
      </c>
      <c r="I379" s="35">
        <f>163.438752*(1628/1602)</f>
        <v>166.09131601498126</v>
      </c>
      <c r="S379" s="33">
        <f>H159</f>
        <v>0</v>
      </c>
      <c r="T379" s="33">
        <f t="shared" si="14"/>
        <v>0</v>
      </c>
      <c r="V379" s="33">
        <f t="shared" si="15"/>
        <v>0</v>
      </c>
      <c r="W379" s="33">
        <f t="shared" si="15"/>
        <v>0</v>
      </c>
    </row>
    <row r="380" spans="8:23">
      <c r="H380" s="35">
        <v>2755</v>
      </c>
      <c r="I380" s="35">
        <f>162.386916*(1628/1602)</f>
        <v>165.02240901872659</v>
      </c>
      <c r="S380" s="33">
        <f>H160</f>
        <v>0</v>
      </c>
      <c r="T380" s="33">
        <f t="shared" si="14"/>
        <v>0</v>
      </c>
      <c r="V380" s="33">
        <f t="shared" si="15"/>
        <v>0</v>
      </c>
      <c r="W380" s="33">
        <f t="shared" si="15"/>
        <v>0</v>
      </c>
    </row>
    <row r="381" spans="8:23">
      <c r="H381" s="35">
        <v>2760</v>
      </c>
      <c r="I381" s="35">
        <f>161.34126*(1628/1602)</f>
        <v>163.95978232209737</v>
      </c>
      <c r="S381" s="33">
        <f>H161</f>
        <v>0</v>
      </c>
      <c r="T381" s="33">
        <f t="shared" si="14"/>
        <v>0</v>
      </c>
      <c r="V381" s="33">
        <f t="shared" si="15"/>
        <v>0</v>
      </c>
      <c r="W381" s="33">
        <f t="shared" si="15"/>
        <v>0</v>
      </c>
    </row>
    <row r="382" spans="8:23">
      <c r="H382" s="35">
        <v>2765</v>
      </c>
      <c r="I382" s="35">
        <f>160.305492*(1628/1602)</f>
        <v>162.90720410486892</v>
      </c>
      <c r="S382" s="33">
        <f>H162</f>
        <v>0</v>
      </c>
      <c r="T382" s="33">
        <f t="shared" si="14"/>
        <v>0</v>
      </c>
      <c r="V382" s="33">
        <f t="shared" si="15"/>
        <v>0</v>
      </c>
      <c r="W382" s="33">
        <f t="shared" si="15"/>
        <v>0</v>
      </c>
    </row>
    <row r="383" spans="8:23">
      <c r="H383" s="35">
        <v>2770</v>
      </c>
      <c r="I383" s="35">
        <f>159.275904*(1628/1602)</f>
        <v>161.86090618726595</v>
      </c>
      <c r="S383" s="33">
        <f>H163</f>
        <v>0</v>
      </c>
      <c r="T383" s="33">
        <f t="shared" si="14"/>
        <v>0</v>
      </c>
      <c r="V383" s="33">
        <f t="shared" si="15"/>
        <v>0</v>
      </c>
      <c r="W383" s="33">
        <f t="shared" si="15"/>
        <v>0</v>
      </c>
    </row>
    <row r="384" spans="8:23">
      <c r="H384" s="35">
        <v>2775</v>
      </c>
      <c r="I384" s="35">
        <f>158.253732*(1628/1602)</f>
        <v>160.82214462921348</v>
      </c>
      <c r="S384" s="33">
        <f>H164</f>
        <v>0</v>
      </c>
      <c r="T384" s="33">
        <f t="shared" si="14"/>
        <v>0</v>
      </c>
      <c r="V384" s="33">
        <f t="shared" si="15"/>
        <v>0</v>
      </c>
      <c r="W384" s="33">
        <f t="shared" si="15"/>
        <v>0</v>
      </c>
    </row>
    <row r="385" spans="8:23">
      <c r="H385" s="35">
        <v>2780</v>
      </c>
      <c r="I385" s="35">
        <f>157.238976*(1628/1602)</f>
        <v>159.79091943071163</v>
      </c>
      <c r="S385" s="33">
        <f>H165</f>
        <v>0</v>
      </c>
      <c r="T385" s="33">
        <f t="shared" si="14"/>
        <v>0</v>
      </c>
      <c r="V385" s="33">
        <f t="shared" si="15"/>
        <v>0</v>
      </c>
      <c r="W385" s="33">
        <f t="shared" si="15"/>
        <v>0</v>
      </c>
    </row>
    <row r="386" spans="8:23">
      <c r="H386" s="35">
        <v>2785</v>
      </c>
      <c r="I386" s="35">
        <f>156.2304*(1628/1602)</f>
        <v>158.76597453183521</v>
      </c>
      <c r="S386" s="33">
        <f>H166</f>
        <v>0</v>
      </c>
      <c r="T386" s="33">
        <f t="shared" si="14"/>
        <v>0</v>
      </c>
      <c r="V386" s="33">
        <f t="shared" si="15"/>
        <v>0</v>
      </c>
      <c r="W386" s="33">
        <f t="shared" si="15"/>
        <v>0</v>
      </c>
    </row>
    <row r="387" spans="8:23">
      <c r="H387" s="35">
        <v>2790</v>
      </c>
      <c r="I387" s="35">
        <f>155.230476*(1628/1602)</f>
        <v>157.7498220524345</v>
      </c>
      <c r="S387" s="33">
        <f>H167</f>
        <v>0</v>
      </c>
      <c r="T387" s="33">
        <f t="shared" si="14"/>
        <v>0</v>
      </c>
      <c r="V387" s="33">
        <f t="shared" si="15"/>
        <v>0</v>
      </c>
      <c r="W387" s="33">
        <f t="shared" si="15"/>
        <v>0</v>
      </c>
    </row>
    <row r="388" spans="8:23">
      <c r="H388" s="35">
        <v>2795</v>
      </c>
      <c r="I388" s="35">
        <f>154.236732*(1628/1602)</f>
        <v>156.73994987265917</v>
      </c>
      <c r="S388" s="33">
        <f>H168</f>
        <v>0</v>
      </c>
      <c r="T388" s="33">
        <f t="shared" si="14"/>
        <v>0</v>
      </c>
      <c r="V388" s="33">
        <f t="shared" si="15"/>
        <v>0</v>
      </c>
      <c r="W388" s="33">
        <f t="shared" si="15"/>
        <v>0</v>
      </c>
    </row>
    <row r="389" spans="8:23">
      <c r="H389" s="35">
        <v>2800</v>
      </c>
      <c r="I389" s="35">
        <f>153.250404*(1628/1602)</f>
        <v>155.73761405243442</v>
      </c>
      <c r="S389" s="33">
        <f>H169</f>
        <v>0</v>
      </c>
      <c r="T389" s="33">
        <f t="shared" si="14"/>
        <v>0</v>
      </c>
      <c r="V389" s="33">
        <f t="shared" si="15"/>
        <v>0</v>
      </c>
      <c r="W389" s="33">
        <f t="shared" si="15"/>
        <v>0</v>
      </c>
    </row>
    <row r="390" spans="8:23">
      <c r="H390" s="35">
        <v>2805</v>
      </c>
      <c r="I390" s="35">
        <f>152.294976*(1628/1602)</f>
        <v>154.76667973033707</v>
      </c>
      <c r="S390" s="33">
        <f>H170</f>
        <v>0</v>
      </c>
      <c r="T390" s="33">
        <f t="shared" si="14"/>
        <v>0</v>
      </c>
      <c r="V390" s="33">
        <f t="shared" si="15"/>
        <v>0</v>
      </c>
      <c r="W390" s="33">
        <f t="shared" si="15"/>
        <v>0</v>
      </c>
    </row>
    <row r="391" spans="8:23">
      <c r="H391" s="35">
        <v>2810</v>
      </c>
      <c r="I391" s="35">
        <f>151.345728*(1628/1602)</f>
        <v>153.80202570786514</v>
      </c>
      <c r="S391" s="33">
        <f>H171</f>
        <v>0</v>
      </c>
      <c r="T391" s="33">
        <f t="shared" si="14"/>
        <v>0</v>
      </c>
      <c r="V391" s="33">
        <f t="shared" si="15"/>
        <v>0</v>
      </c>
      <c r="W391" s="33">
        <f t="shared" si="15"/>
        <v>0</v>
      </c>
    </row>
    <row r="392" spans="8:23">
      <c r="H392" s="35">
        <v>2815</v>
      </c>
      <c r="I392" s="35">
        <f>150.40266*(1628/1602)</f>
        <v>152.84365198501874</v>
      </c>
      <c r="S392" s="33">
        <f>H172</f>
        <v>0</v>
      </c>
      <c r="T392" s="33">
        <f t="shared" si="14"/>
        <v>0</v>
      </c>
      <c r="V392" s="33">
        <f t="shared" si="15"/>
        <v>0</v>
      </c>
      <c r="W392" s="33">
        <f t="shared" si="15"/>
        <v>0</v>
      </c>
    </row>
    <row r="393" spans="8:23">
      <c r="H393" s="35">
        <v>2820</v>
      </c>
      <c r="I393" s="35">
        <f>149.467008*(1628/1602)</f>
        <v>151.89281462172283</v>
      </c>
      <c r="S393" s="33">
        <f>H173</f>
        <v>0</v>
      </c>
      <c r="T393" s="33">
        <f t="shared" si="14"/>
        <v>0</v>
      </c>
      <c r="V393" s="33">
        <f t="shared" si="15"/>
        <v>0</v>
      </c>
      <c r="W393" s="33">
        <f t="shared" si="15"/>
        <v>0</v>
      </c>
    </row>
    <row r="394" spans="8:23">
      <c r="H394" s="35">
        <v>2825</v>
      </c>
      <c r="I394" s="35">
        <f>148.537536*(1628/1602)</f>
        <v>150.94825755805243</v>
      </c>
      <c r="S394" s="33">
        <f>H174</f>
        <v>0</v>
      </c>
      <c r="T394" s="33">
        <f t="shared" si="14"/>
        <v>0</v>
      </c>
      <c r="V394" s="33">
        <f t="shared" si="15"/>
        <v>0</v>
      </c>
      <c r="W394" s="33">
        <f t="shared" si="15"/>
        <v>0</v>
      </c>
    </row>
    <row r="395" spans="8:23">
      <c r="H395" s="35">
        <v>2830</v>
      </c>
      <c r="I395" s="35">
        <f>147.614244*(1628/1602)</f>
        <v>150.00998079400748</v>
      </c>
      <c r="S395" s="33">
        <f>H175</f>
        <v>0</v>
      </c>
      <c r="T395" s="33">
        <f t="shared" si="14"/>
        <v>0</v>
      </c>
      <c r="V395" s="33">
        <f t="shared" si="15"/>
        <v>0</v>
      </c>
      <c r="W395" s="33">
        <f t="shared" si="15"/>
        <v>0</v>
      </c>
    </row>
    <row r="396" spans="8:23">
      <c r="H396" s="35">
        <v>2835</v>
      </c>
      <c r="I396" s="35">
        <f>146.698368*(1628/1602)</f>
        <v>149.0792403895131</v>
      </c>
      <c r="S396" s="33">
        <f>H176</f>
        <v>0</v>
      </c>
      <c r="T396" s="33">
        <f t="shared" si="14"/>
        <v>0</v>
      </c>
      <c r="V396" s="33">
        <f t="shared" si="15"/>
        <v>0</v>
      </c>
      <c r="W396" s="33">
        <f t="shared" si="15"/>
        <v>0</v>
      </c>
    </row>
    <row r="397" spans="8:23">
      <c r="H397" s="35">
        <v>2840</v>
      </c>
      <c r="I397" s="35">
        <f>145.787436*(1628/1602)</f>
        <v>148.15352422471909</v>
      </c>
      <c r="S397" s="33">
        <f>H177</f>
        <v>0</v>
      </c>
      <c r="T397" s="33">
        <f t="shared" si="14"/>
        <v>0</v>
      </c>
      <c r="V397" s="33">
        <f t="shared" si="15"/>
        <v>0</v>
      </c>
      <c r="W397" s="33">
        <f t="shared" si="15"/>
        <v>0</v>
      </c>
    </row>
    <row r="398" spans="8:23">
      <c r="H398" s="35">
        <v>2845</v>
      </c>
      <c r="I398" s="35">
        <f>144.88392*(1628/1602)</f>
        <v>147.23534441947564</v>
      </c>
      <c r="S398" s="33">
        <f>H178</f>
        <v>0</v>
      </c>
      <c r="T398" s="33">
        <f t="shared" si="14"/>
        <v>0</v>
      </c>
      <c r="V398" s="33">
        <f t="shared" ref="V398:W461" si="16">S398</f>
        <v>0</v>
      </c>
      <c r="W398" s="33">
        <f t="shared" si="16"/>
        <v>0</v>
      </c>
    </row>
    <row r="399" spans="8:23">
      <c r="H399" s="35">
        <v>2850</v>
      </c>
      <c r="I399" s="35">
        <f>143.986584*(1628/1602)</f>
        <v>146.32344491385768</v>
      </c>
      <c r="S399" s="33">
        <f>H179</f>
        <v>0</v>
      </c>
      <c r="T399" s="33">
        <f t="shared" ref="T399:T462" si="17">IF(I178=0,0,I178/$Q$51)</f>
        <v>0</v>
      </c>
      <c r="V399" s="33">
        <f t="shared" si="16"/>
        <v>0</v>
      </c>
      <c r="W399" s="33">
        <f t="shared" si="16"/>
        <v>0</v>
      </c>
    </row>
    <row r="400" spans="8:23">
      <c r="H400" s="35">
        <v>2855</v>
      </c>
      <c r="I400" s="35">
        <f>143.095428*(1628/1602)</f>
        <v>145.41782570786518</v>
      </c>
      <c r="S400" s="33">
        <f>H180</f>
        <v>0</v>
      </c>
      <c r="T400" s="33">
        <f t="shared" si="17"/>
        <v>0</v>
      </c>
      <c r="V400" s="33">
        <f t="shared" si="16"/>
        <v>0</v>
      </c>
      <c r="W400" s="33">
        <f t="shared" si="16"/>
        <v>0</v>
      </c>
    </row>
    <row r="401" spans="8:23">
      <c r="H401" s="35">
        <v>2860</v>
      </c>
      <c r="I401" s="35">
        <f>142.210452*(1628/1602)</f>
        <v>144.51848680149811</v>
      </c>
      <c r="S401" s="33">
        <f>H181</f>
        <v>0</v>
      </c>
      <c r="T401" s="33">
        <f t="shared" si="17"/>
        <v>0</v>
      </c>
      <c r="V401" s="33">
        <f t="shared" si="16"/>
        <v>0</v>
      </c>
      <c r="W401" s="33">
        <f t="shared" si="16"/>
        <v>0</v>
      </c>
    </row>
    <row r="402" spans="8:23">
      <c r="H402" s="35">
        <v>2865</v>
      </c>
      <c r="I402" s="35">
        <f>141.33042*(1628/1602)</f>
        <v>143.62417213483147</v>
      </c>
      <c r="S402" s="33">
        <f>H182</f>
        <v>0</v>
      </c>
      <c r="T402" s="33">
        <f t="shared" si="17"/>
        <v>0</v>
      </c>
      <c r="V402" s="33">
        <f t="shared" si="16"/>
        <v>0</v>
      </c>
      <c r="W402" s="33">
        <f t="shared" si="16"/>
        <v>0</v>
      </c>
    </row>
    <row r="403" spans="8:23">
      <c r="H403" s="35">
        <v>2870</v>
      </c>
      <c r="I403" s="35">
        <f>140.457804*(1628/1602)</f>
        <v>142.73739382771535</v>
      </c>
      <c r="S403" s="33">
        <f>H183</f>
        <v>0</v>
      </c>
      <c r="T403" s="33">
        <f t="shared" si="17"/>
        <v>0</v>
      </c>
      <c r="V403" s="33">
        <f t="shared" si="16"/>
        <v>0</v>
      </c>
      <c r="W403" s="33">
        <f t="shared" si="16"/>
        <v>0</v>
      </c>
    </row>
    <row r="404" spans="8:23">
      <c r="H404" s="35">
        <v>2875</v>
      </c>
      <c r="I404" s="35">
        <f>139.590132*(1628/1602)</f>
        <v>141.85563976029962</v>
      </c>
      <c r="S404" s="33">
        <f>H184</f>
        <v>0</v>
      </c>
      <c r="T404" s="33">
        <f t="shared" si="17"/>
        <v>0</v>
      </c>
      <c r="V404" s="33">
        <f t="shared" si="16"/>
        <v>0</v>
      </c>
      <c r="W404" s="33">
        <f t="shared" si="16"/>
        <v>0</v>
      </c>
    </row>
    <row r="405" spans="8:23">
      <c r="H405" s="35">
        <v>2880</v>
      </c>
      <c r="I405" s="35">
        <f>138.72864*(1628/1602)</f>
        <v>140.98016599250934</v>
      </c>
      <c r="S405" s="33">
        <f>H185</f>
        <v>0</v>
      </c>
      <c r="T405" s="33">
        <f t="shared" si="17"/>
        <v>0</v>
      </c>
      <c r="V405" s="33">
        <f t="shared" si="16"/>
        <v>0</v>
      </c>
      <c r="W405" s="33">
        <f t="shared" si="16"/>
        <v>0</v>
      </c>
    </row>
    <row r="406" spans="8:23">
      <c r="H406" s="35">
        <v>2885</v>
      </c>
      <c r="I406" s="35">
        <f>137.874564*(1628/1602)</f>
        <v>140.1122285842697</v>
      </c>
      <c r="S406" s="33">
        <f>H186</f>
        <v>0</v>
      </c>
      <c r="T406" s="33">
        <f t="shared" si="17"/>
        <v>0</v>
      </c>
      <c r="V406" s="33">
        <f t="shared" si="16"/>
        <v>0</v>
      </c>
      <c r="W406" s="33">
        <f t="shared" si="16"/>
        <v>0</v>
      </c>
    </row>
    <row r="407" spans="8:23">
      <c r="H407" s="35">
        <v>2890</v>
      </c>
      <c r="I407" s="35">
        <f>137.025432*(1628/1602)</f>
        <v>139.24931541573036</v>
      </c>
      <c r="S407" s="33">
        <f>H187</f>
        <v>0</v>
      </c>
      <c r="T407" s="33">
        <f t="shared" si="17"/>
        <v>0</v>
      </c>
      <c r="V407" s="33">
        <f t="shared" si="16"/>
        <v>0</v>
      </c>
      <c r="W407" s="33">
        <f t="shared" si="16"/>
        <v>0</v>
      </c>
    </row>
    <row r="408" spans="8:23">
      <c r="H408" s="35">
        <v>2895</v>
      </c>
      <c r="I408" s="35">
        <f>136.181244*(1628/1602)</f>
        <v>138.39142648689139</v>
      </c>
      <c r="S408" s="33">
        <f>H188</f>
        <v>0</v>
      </c>
      <c r="T408" s="33">
        <f t="shared" si="17"/>
        <v>0</v>
      </c>
      <c r="V408" s="33">
        <f t="shared" si="16"/>
        <v>0</v>
      </c>
      <c r="W408" s="33">
        <f t="shared" si="16"/>
        <v>0</v>
      </c>
    </row>
    <row r="409" spans="8:23">
      <c r="H409" s="35">
        <v>2900</v>
      </c>
      <c r="I409" s="35">
        <f>135.344472*(1628/1602)</f>
        <v>137.541073917603</v>
      </c>
      <c r="S409" s="33">
        <f>H189</f>
        <v>0</v>
      </c>
      <c r="T409" s="33">
        <f t="shared" si="17"/>
        <v>0</v>
      </c>
      <c r="V409" s="33">
        <f t="shared" si="16"/>
        <v>0</v>
      </c>
      <c r="W409" s="33">
        <f t="shared" si="16"/>
        <v>0</v>
      </c>
    </row>
    <row r="410" spans="8:23">
      <c r="H410" s="35">
        <v>2905</v>
      </c>
      <c r="I410" s="35">
        <f>134.512644*(1628/1602)</f>
        <v>136.69574558801497</v>
      </c>
      <c r="S410" s="33">
        <f>H190</f>
        <v>0</v>
      </c>
      <c r="T410" s="33">
        <f t="shared" si="17"/>
        <v>0</v>
      </c>
      <c r="V410" s="33">
        <f t="shared" si="16"/>
        <v>0</v>
      </c>
      <c r="W410" s="33">
        <f t="shared" si="16"/>
        <v>0</v>
      </c>
    </row>
    <row r="411" spans="8:23">
      <c r="H411" s="35">
        <v>2910</v>
      </c>
      <c r="I411" s="35">
        <f>133.686996*(1628/1602)</f>
        <v>135.85669755805245</v>
      </c>
      <c r="S411" s="33">
        <f>H191</f>
        <v>0</v>
      </c>
      <c r="T411" s="33">
        <f t="shared" si="17"/>
        <v>0</v>
      </c>
      <c r="V411" s="33">
        <f t="shared" si="16"/>
        <v>0</v>
      </c>
      <c r="W411" s="33">
        <f t="shared" si="16"/>
        <v>0</v>
      </c>
    </row>
    <row r="412" spans="8:23">
      <c r="H412" s="35">
        <v>2915</v>
      </c>
      <c r="I412" s="35">
        <f>132.865056*(1628/1602)</f>
        <v>135.02141770786517</v>
      </c>
      <c r="S412" s="33">
        <f>H192</f>
        <v>0</v>
      </c>
      <c r="T412" s="33">
        <f t="shared" si="17"/>
        <v>0</v>
      </c>
      <c r="V412" s="33">
        <f t="shared" si="16"/>
        <v>0</v>
      </c>
      <c r="W412" s="33">
        <f t="shared" si="16"/>
        <v>0</v>
      </c>
    </row>
    <row r="413" spans="8:23">
      <c r="H413" s="35">
        <v>2920</v>
      </c>
      <c r="I413" s="35">
        <f>132.050532*(1628/1602)</f>
        <v>134.19367421722848</v>
      </c>
      <c r="S413" s="33">
        <f>H193</f>
        <v>0</v>
      </c>
      <c r="T413" s="33">
        <f t="shared" si="17"/>
        <v>0</v>
      </c>
      <c r="V413" s="33">
        <f t="shared" si="16"/>
        <v>0</v>
      </c>
      <c r="W413" s="33">
        <f t="shared" si="16"/>
        <v>0</v>
      </c>
    </row>
    <row r="414" spans="8:23">
      <c r="H414" s="35">
        <v>2925</v>
      </c>
      <c r="I414" s="35">
        <f>131.240952*(1628/1602)</f>
        <v>133.37095496629215</v>
      </c>
      <c r="S414" s="33">
        <f>H194</f>
        <v>0</v>
      </c>
      <c r="T414" s="33">
        <f t="shared" si="17"/>
        <v>0</v>
      </c>
      <c r="V414" s="33">
        <f t="shared" si="16"/>
        <v>0</v>
      </c>
      <c r="W414" s="33">
        <f t="shared" si="16"/>
        <v>0</v>
      </c>
    </row>
    <row r="415" spans="8:23">
      <c r="H415" s="35">
        <v>2930</v>
      </c>
      <c r="I415" s="35">
        <f>130.437552*(1628/1602)</f>
        <v>132.55451601498129</v>
      </c>
      <c r="S415" s="33">
        <f>H195</f>
        <v>0</v>
      </c>
      <c r="T415" s="33">
        <f t="shared" si="17"/>
        <v>0</v>
      </c>
      <c r="V415" s="33">
        <f t="shared" si="16"/>
        <v>0</v>
      </c>
      <c r="W415" s="33">
        <f t="shared" si="16"/>
        <v>0</v>
      </c>
    </row>
    <row r="416" spans="8:23">
      <c r="H416" s="35">
        <v>2935</v>
      </c>
      <c r="I416" s="35">
        <f>129.640332*(1628/1602)</f>
        <v>131.74435736329588</v>
      </c>
      <c r="S416" s="33">
        <f>H196</f>
        <v>0</v>
      </c>
      <c r="T416" s="33">
        <f t="shared" si="17"/>
        <v>0</v>
      </c>
      <c r="V416" s="33">
        <f t="shared" si="16"/>
        <v>0</v>
      </c>
      <c r="W416" s="33">
        <f t="shared" si="16"/>
        <v>0</v>
      </c>
    </row>
    <row r="417" spans="8:23">
      <c r="H417" s="35">
        <v>2940</v>
      </c>
      <c r="I417" s="35">
        <f>128.84682*(1628/1602)</f>
        <v>130.93796689138577</v>
      </c>
      <c r="S417" s="33">
        <f>H197</f>
        <v>0</v>
      </c>
      <c r="T417" s="33">
        <f t="shared" si="17"/>
        <v>0</v>
      </c>
      <c r="V417" s="33">
        <f t="shared" si="16"/>
        <v>0</v>
      </c>
      <c r="W417" s="33">
        <f t="shared" si="16"/>
        <v>0</v>
      </c>
    </row>
    <row r="418" spans="8:23">
      <c r="H418" s="35">
        <v>2945</v>
      </c>
      <c r="I418" s="35">
        <f>128.059488*(1628/1602)</f>
        <v>130.13785671910111</v>
      </c>
      <c r="S418" s="33">
        <f>H198</f>
        <v>0</v>
      </c>
      <c r="T418" s="33">
        <f t="shared" si="17"/>
        <v>0</v>
      </c>
      <c r="V418" s="33">
        <f t="shared" si="16"/>
        <v>0</v>
      </c>
      <c r="W418" s="33">
        <f t="shared" si="16"/>
        <v>0</v>
      </c>
    </row>
    <row r="419" spans="8:23">
      <c r="H419" s="35">
        <v>2950</v>
      </c>
      <c r="I419" s="35">
        <f>127.278336*(1628/1602)</f>
        <v>129.34402684644192</v>
      </c>
      <c r="S419" s="33">
        <f>H199</f>
        <v>0</v>
      </c>
      <c r="T419" s="33">
        <f t="shared" si="17"/>
        <v>0</v>
      </c>
      <c r="V419" s="33">
        <f t="shared" si="16"/>
        <v>0</v>
      </c>
      <c r="W419" s="33">
        <f t="shared" si="16"/>
        <v>0</v>
      </c>
    </row>
    <row r="420" spans="8:23">
      <c r="H420" s="35">
        <v>2955</v>
      </c>
      <c r="I420" s="35">
        <f>126.500892*(1628/1602)</f>
        <v>128.55396515355807</v>
      </c>
      <c r="S420" s="33">
        <f>H200</f>
        <v>0</v>
      </c>
      <c r="T420" s="33">
        <f t="shared" si="17"/>
        <v>0</v>
      </c>
      <c r="V420" s="33">
        <f t="shared" si="16"/>
        <v>0</v>
      </c>
      <c r="W420" s="33">
        <f t="shared" si="16"/>
        <v>0</v>
      </c>
    </row>
    <row r="421" spans="8:23">
      <c r="H421" s="35">
        <v>2960</v>
      </c>
      <c r="I421" s="35">
        <f>125.729628*(1628/1602)</f>
        <v>127.77018376029962</v>
      </c>
      <c r="S421" s="33">
        <f>H201</f>
        <v>0</v>
      </c>
      <c r="T421" s="33">
        <f t="shared" si="17"/>
        <v>0</v>
      </c>
      <c r="V421" s="33">
        <f t="shared" si="16"/>
        <v>0</v>
      </c>
      <c r="W421" s="33">
        <f t="shared" si="16"/>
        <v>0</v>
      </c>
    </row>
    <row r="422" spans="8:23">
      <c r="H422" s="35">
        <v>2965</v>
      </c>
      <c r="I422" s="35">
        <f>124.964544*(1628/1602)</f>
        <v>126.99268266666668</v>
      </c>
      <c r="S422" s="33">
        <f>H202</f>
        <v>0</v>
      </c>
      <c r="T422" s="33">
        <f t="shared" si="17"/>
        <v>0</v>
      </c>
      <c r="V422" s="33">
        <f t="shared" si="16"/>
        <v>0</v>
      </c>
      <c r="W422" s="33">
        <f t="shared" si="16"/>
        <v>0</v>
      </c>
    </row>
    <row r="423" spans="8:23">
      <c r="H423" s="35">
        <v>2970</v>
      </c>
      <c r="I423" s="35">
        <f>124.203168*(1628/1602)</f>
        <v>126.21894975280898</v>
      </c>
      <c r="S423" s="33">
        <f>H203</f>
        <v>0</v>
      </c>
      <c r="T423" s="33">
        <f t="shared" si="17"/>
        <v>0</v>
      </c>
      <c r="V423" s="33">
        <f t="shared" si="16"/>
        <v>0</v>
      </c>
      <c r="W423" s="33">
        <f t="shared" si="16"/>
        <v>0</v>
      </c>
    </row>
    <row r="424" spans="8:23">
      <c r="H424" s="35">
        <v>2975</v>
      </c>
      <c r="I424" s="35">
        <f>123.4469832*(1628/1602)</f>
        <v>125.4504922906367</v>
      </c>
      <c r="S424" s="33">
        <f>H204</f>
        <v>0</v>
      </c>
      <c r="T424" s="33">
        <f t="shared" si="17"/>
        <v>0</v>
      </c>
      <c r="V424" s="33">
        <f t="shared" si="16"/>
        <v>0</v>
      </c>
      <c r="W424" s="33">
        <f t="shared" si="16"/>
        <v>0</v>
      </c>
    </row>
    <row r="425" spans="8:23">
      <c r="H425" s="35">
        <v>2980</v>
      </c>
      <c r="I425" s="35">
        <f>122.6967312*(1628/1602)</f>
        <v>124.68806391610488</v>
      </c>
      <c r="S425" s="33">
        <f>H205</f>
        <v>0</v>
      </c>
      <c r="T425" s="33">
        <f t="shared" si="17"/>
        <v>0</v>
      </c>
      <c r="V425" s="33">
        <f t="shared" si="16"/>
        <v>0</v>
      </c>
      <c r="W425" s="33">
        <f t="shared" si="16"/>
        <v>0</v>
      </c>
    </row>
    <row r="426" spans="8:23">
      <c r="H426" s="35">
        <v>2985</v>
      </c>
      <c r="I426" s="35">
        <f>121.951176*(1628/1602)</f>
        <v>123.93040856928839</v>
      </c>
      <c r="S426" s="33">
        <f>H206</f>
        <v>0</v>
      </c>
      <c r="T426" s="33">
        <f t="shared" si="17"/>
        <v>0</v>
      </c>
      <c r="V426" s="33">
        <f t="shared" si="16"/>
        <v>0</v>
      </c>
      <c r="W426" s="33">
        <f t="shared" si="16"/>
        <v>0</v>
      </c>
    </row>
    <row r="427" spans="8:23">
      <c r="H427" s="35">
        <v>2990</v>
      </c>
      <c r="I427" s="35">
        <f>121.210812*(1628/1602)</f>
        <v>123.1780286741573</v>
      </c>
      <c r="S427" s="33">
        <f>H207</f>
        <v>0</v>
      </c>
      <c r="T427" s="33">
        <f t="shared" si="17"/>
        <v>0</v>
      </c>
      <c r="V427" s="33">
        <f t="shared" si="16"/>
        <v>0</v>
      </c>
      <c r="W427" s="33">
        <f t="shared" si="16"/>
        <v>0</v>
      </c>
    </row>
    <row r="428" spans="8:23">
      <c r="H428" s="35">
        <v>2995</v>
      </c>
      <c r="I428" s="35">
        <f>120.4757628*(1628/1602)</f>
        <v>122.43104983670412</v>
      </c>
      <c r="S428" s="33">
        <f>H208</f>
        <v>0</v>
      </c>
      <c r="T428" s="33">
        <f t="shared" si="17"/>
        <v>0</v>
      </c>
      <c r="V428" s="33">
        <f t="shared" si="16"/>
        <v>0</v>
      </c>
      <c r="W428" s="33">
        <f t="shared" si="16"/>
        <v>0</v>
      </c>
    </row>
    <row r="429" spans="8:23">
      <c r="H429" s="35">
        <v>3000</v>
      </c>
      <c r="I429" s="35">
        <f>119.7452868*(1628/1602)</f>
        <v>121.68871842097377</v>
      </c>
      <c r="S429" s="33">
        <f>H209</f>
        <v>0</v>
      </c>
      <c r="T429" s="33">
        <f t="shared" si="17"/>
        <v>0</v>
      </c>
      <c r="V429" s="33">
        <f t="shared" si="16"/>
        <v>0</v>
      </c>
      <c r="W429" s="33">
        <f t="shared" si="16"/>
        <v>0</v>
      </c>
    </row>
    <row r="430" spans="8:23">
      <c r="S430" s="33">
        <f>H210</f>
        <v>0</v>
      </c>
      <c r="T430" s="33">
        <f t="shared" si="17"/>
        <v>0</v>
      </c>
      <c r="V430" s="33">
        <f t="shared" si="16"/>
        <v>0</v>
      </c>
      <c r="W430" s="33">
        <f t="shared" si="16"/>
        <v>0</v>
      </c>
    </row>
    <row r="431" spans="8:23">
      <c r="S431" s="33">
        <f>H211</f>
        <v>0</v>
      </c>
      <c r="T431" s="33">
        <f t="shared" si="17"/>
        <v>0</v>
      </c>
      <c r="V431" s="33">
        <f t="shared" si="16"/>
        <v>0</v>
      </c>
      <c r="W431" s="33">
        <f t="shared" si="16"/>
        <v>0</v>
      </c>
    </row>
    <row r="432" spans="8:23">
      <c r="S432" s="33">
        <f>H212</f>
        <v>0</v>
      </c>
      <c r="T432" s="33">
        <f t="shared" si="17"/>
        <v>0</v>
      </c>
      <c r="V432" s="33">
        <f t="shared" si="16"/>
        <v>0</v>
      </c>
      <c r="W432" s="33">
        <f t="shared" si="16"/>
        <v>0</v>
      </c>
    </row>
    <row r="433" spans="19:23">
      <c r="S433" s="33">
        <f>H213</f>
        <v>0</v>
      </c>
      <c r="T433" s="33">
        <f t="shared" si="17"/>
        <v>0</v>
      </c>
      <c r="V433" s="33">
        <f t="shared" si="16"/>
        <v>0</v>
      </c>
      <c r="W433" s="33">
        <f t="shared" si="16"/>
        <v>0</v>
      </c>
    </row>
    <row r="434" spans="19:23">
      <c r="S434" s="33">
        <f>H214</f>
        <v>0</v>
      </c>
      <c r="T434" s="33">
        <f t="shared" si="17"/>
        <v>0</v>
      </c>
      <c r="V434" s="33">
        <f t="shared" si="16"/>
        <v>0</v>
      </c>
      <c r="W434" s="33">
        <f t="shared" si="16"/>
        <v>0</v>
      </c>
    </row>
    <row r="435" spans="19:23">
      <c r="S435" s="33">
        <f>H215</f>
        <v>0</v>
      </c>
      <c r="T435" s="33">
        <f t="shared" si="17"/>
        <v>0</v>
      </c>
      <c r="V435" s="33">
        <f t="shared" si="16"/>
        <v>0</v>
      </c>
      <c r="W435" s="33">
        <f t="shared" si="16"/>
        <v>0</v>
      </c>
    </row>
    <row r="436" spans="19:23">
      <c r="S436" s="33">
        <f>H216</f>
        <v>0</v>
      </c>
      <c r="T436" s="33">
        <f t="shared" si="17"/>
        <v>0</v>
      </c>
      <c r="V436" s="33">
        <f t="shared" si="16"/>
        <v>0</v>
      </c>
      <c r="W436" s="33">
        <f t="shared" si="16"/>
        <v>0</v>
      </c>
    </row>
    <row r="437" spans="19:23">
      <c r="S437" s="33">
        <f>H217</f>
        <v>0</v>
      </c>
      <c r="T437" s="33">
        <f t="shared" si="17"/>
        <v>0</v>
      </c>
      <c r="V437" s="33">
        <f t="shared" si="16"/>
        <v>0</v>
      </c>
      <c r="W437" s="33">
        <f t="shared" si="16"/>
        <v>0</v>
      </c>
    </row>
    <row r="438" spans="19:23">
      <c r="S438" s="33">
        <f>H218</f>
        <v>0</v>
      </c>
      <c r="T438" s="33">
        <f t="shared" si="17"/>
        <v>0</v>
      </c>
      <c r="V438" s="33">
        <f t="shared" si="16"/>
        <v>0</v>
      </c>
      <c r="W438" s="33">
        <f t="shared" si="16"/>
        <v>0</v>
      </c>
    </row>
    <row r="439" spans="19:23">
      <c r="S439" s="33">
        <f>H219</f>
        <v>0</v>
      </c>
      <c r="T439" s="33">
        <f t="shared" si="17"/>
        <v>0</v>
      </c>
      <c r="V439" s="33">
        <f t="shared" si="16"/>
        <v>0</v>
      </c>
      <c r="W439" s="33">
        <f t="shared" si="16"/>
        <v>0</v>
      </c>
    </row>
    <row r="440" spans="19:23">
      <c r="S440" s="33">
        <f>H220</f>
        <v>0</v>
      </c>
      <c r="T440" s="33">
        <f t="shared" si="17"/>
        <v>0</v>
      </c>
      <c r="V440" s="33">
        <f t="shared" si="16"/>
        <v>0</v>
      </c>
      <c r="W440" s="33">
        <f t="shared" si="16"/>
        <v>0</v>
      </c>
    </row>
    <row r="441" spans="19:23">
      <c r="S441" s="33">
        <f>H221</f>
        <v>0</v>
      </c>
      <c r="T441" s="33">
        <f t="shared" si="17"/>
        <v>0</v>
      </c>
      <c r="V441" s="33">
        <f t="shared" si="16"/>
        <v>0</v>
      </c>
      <c r="W441" s="33">
        <f t="shared" si="16"/>
        <v>0</v>
      </c>
    </row>
    <row r="442" spans="19:23">
      <c r="S442" s="33">
        <f>H222</f>
        <v>0</v>
      </c>
      <c r="T442" s="33">
        <f t="shared" si="17"/>
        <v>0</v>
      </c>
      <c r="V442" s="33">
        <f t="shared" si="16"/>
        <v>0</v>
      </c>
      <c r="W442" s="33">
        <f t="shared" si="16"/>
        <v>0</v>
      </c>
    </row>
    <row r="443" spans="19:23">
      <c r="S443" s="33">
        <f>H223</f>
        <v>0</v>
      </c>
      <c r="T443" s="33">
        <f t="shared" si="17"/>
        <v>0</v>
      </c>
      <c r="V443" s="33">
        <f t="shared" si="16"/>
        <v>0</v>
      </c>
      <c r="W443" s="33">
        <f t="shared" si="16"/>
        <v>0</v>
      </c>
    </row>
    <row r="444" spans="19:23">
      <c r="S444" s="33">
        <f>H224</f>
        <v>0</v>
      </c>
      <c r="T444" s="33">
        <f t="shared" si="17"/>
        <v>0</v>
      </c>
      <c r="V444" s="33">
        <f t="shared" si="16"/>
        <v>0</v>
      </c>
      <c r="W444" s="33">
        <f t="shared" si="16"/>
        <v>0</v>
      </c>
    </row>
    <row r="445" spans="19:23">
      <c r="S445" s="33">
        <f>H225</f>
        <v>0</v>
      </c>
      <c r="T445" s="33">
        <f t="shared" si="17"/>
        <v>0</v>
      </c>
      <c r="V445" s="33">
        <f t="shared" si="16"/>
        <v>0</v>
      </c>
      <c r="W445" s="33">
        <f t="shared" si="16"/>
        <v>0</v>
      </c>
    </row>
    <row r="446" spans="19:23">
      <c r="S446" s="33">
        <f>H226</f>
        <v>0</v>
      </c>
      <c r="T446" s="33">
        <f t="shared" si="17"/>
        <v>0</v>
      </c>
      <c r="V446" s="33">
        <f t="shared" si="16"/>
        <v>0</v>
      </c>
      <c r="W446" s="33">
        <f t="shared" si="16"/>
        <v>0</v>
      </c>
    </row>
    <row r="447" spans="19:23">
      <c r="S447" s="33">
        <f>H227</f>
        <v>0</v>
      </c>
      <c r="T447" s="33">
        <f t="shared" si="17"/>
        <v>0</v>
      </c>
      <c r="V447" s="33">
        <f t="shared" si="16"/>
        <v>0</v>
      </c>
      <c r="W447" s="33">
        <f t="shared" si="16"/>
        <v>0</v>
      </c>
    </row>
    <row r="448" spans="19:23">
      <c r="S448" s="33">
        <f>H228</f>
        <v>0</v>
      </c>
      <c r="T448" s="33">
        <f t="shared" si="17"/>
        <v>0</v>
      </c>
      <c r="V448" s="33">
        <f t="shared" si="16"/>
        <v>0</v>
      </c>
      <c r="W448" s="33">
        <f t="shared" si="16"/>
        <v>0</v>
      </c>
    </row>
    <row r="449" spans="19:23">
      <c r="S449" s="33">
        <f>H229</f>
        <v>0</v>
      </c>
      <c r="T449" s="33">
        <f t="shared" si="17"/>
        <v>0</v>
      </c>
      <c r="V449" s="33">
        <f t="shared" si="16"/>
        <v>0</v>
      </c>
      <c r="W449" s="33">
        <f t="shared" si="16"/>
        <v>0</v>
      </c>
    </row>
    <row r="450" spans="19:23">
      <c r="S450" s="33">
        <f>H230</f>
        <v>0</v>
      </c>
      <c r="T450" s="33">
        <f t="shared" si="17"/>
        <v>0</v>
      </c>
      <c r="V450" s="33">
        <f t="shared" si="16"/>
        <v>0</v>
      </c>
      <c r="W450" s="33">
        <f t="shared" si="16"/>
        <v>0</v>
      </c>
    </row>
    <row r="451" spans="19:23">
      <c r="S451" s="33">
        <f>H231</f>
        <v>0</v>
      </c>
      <c r="T451" s="33">
        <f t="shared" si="17"/>
        <v>0</v>
      </c>
      <c r="V451" s="33">
        <f t="shared" si="16"/>
        <v>0</v>
      </c>
      <c r="W451" s="33">
        <f t="shared" si="16"/>
        <v>0</v>
      </c>
    </row>
    <row r="452" spans="19:23">
      <c r="S452" s="33">
        <f>H232</f>
        <v>0</v>
      </c>
      <c r="T452" s="33">
        <f t="shared" si="17"/>
        <v>0</v>
      </c>
      <c r="V452" s="33">
        <f t="shared" si="16"/>
        <v>0</v>
      </c>
      <c r="W452" s="33">
        <f t="shared" si="16"/>
        <v>0</v>
      </c>
    </row>
    <row r="453" spans="19:23">
      <c r="S453" s="33">
        <f>H233</f>
        <v>0</v>
      </c>
      <c r="T453" s="33">
        <f t="shared" si="17"/>
        <v>0</v>
      </c>
      <c r="V453" s="33">
        <f t="shared" si="16"/>
        <v>0</v>
      </c>
      <c r="W453" s="33">
        <f t="shared" si="16"/>
        <v>0</v>
      </c>
    </row>
    <row r="454" spans="19:23">
      <c r="S454" s="33">
        <f>H234</f>
        <v>0</v>
      </c>
      <c r="T454" s="33">
        <f t="shared" si="17"/>
        <v>0</v>
      </c>
      <c r="V454" s="33">
        <f t="shared" si="16"/>
        <v>0</v>
      </c>
      <c r="W454" s="33">
        <f t="shared" si="16"/>
        <v>0</v>
      </c>
    </row>
    <row r="455" spans="19:23">
      <c r="S455" s="33">
        <f>H235</f>
        <v>0</v>
      </c>
      <c r="T455" s="33">
        <f t="shared" si="17"/>
        <v>0</v>
      </c>
      <c r="V455" s="33">
        <f t="shared" si="16"/>
        <v>0</v>
      </c>
      <c r="W455" s="33">
        <f t="shared" si="16"/>
        <v>0</v>
      </c>
    </row>
    <row r="456" spans="19:23">
      <c r="S456" s="33">
        <f>H236</f>
        <v>0</v>
      </c>
      <c r="T456" s="33">
        <f t="shared" si="17"/>
        <v>0</v>
      </c>
      <c r="V456" s="33">
        <f t="shared" si="16"/>
        <v>0</v>
      </c>
      <c r="W456" s="33">
        <f t="shared" si="16"/>
        <v>0</v>
      </c>
    </row>
    <row r="457" spans="19:23">
      <c r="S457" s="33">
        <f>H237</f>
        <v>0</v>
      </c>
      <c r="T457" s="33">
        <f t="shared" si="17"/>
        <v>0</v>
      </c>
      <c r="V457" s="33">
        <f t="shared" si="16"/>
        <v>0</v>
      </c>
      <c r="W457" s="33">
        <f t="shared" si="16"/>
        <v>0</v>
      </c>
    </row>
    <row r="458" spans="19:23">
      <c r="S458" s="33">
        <f>H238</f>
        <v>0</v>
      </c>
      <c r="T458" s="33">
        <f t="shared" si="17"/>
        <v>0</v>
      </c>
      <c r="V458" s="33">
        <f t="shared" si="16"/>
        <v>0</v>
      </c>
      <c r="W458" s="33">
        <f t="shared" si="16"/>
        <v>0</v>
      </c>
    </row>
    <row r="459" spans="19:23">
      <c r="S459" s="33">
        <f>H239</f>
        <v>0</v>
      </c>
      <c r="T459" s="33">
        <f t="shared" si="17"/>
        <v>0</v>
      </c>
      <c r="V459" s="33">
        <f t="shared" si="16"/>
        <v>0</v>
      </c>
      <c r="W459" s="33">
        <f t="shared" si="16"/>
        <v>0</v>
      </c>
    </row>
    <row r="460" spans="19:23">
      <c r="S460" s="33">
        <f>H240</f>
        <v>0</v>
      </c>
      <c r="T460" s="33">
        <f t="shared" si="17"/>
        <v>0</v>
      </c>
      <c r="V460" s="33">
        <f t="shared" si="16"/>
        <v>0</v>
      </c>
      <c r="W460" s="33">
        <f t="shared" si="16"/>
        <v>0</v>
      </c>
    </row>
    <row r="461" spans="19:23">
      <c r="S461" s="33">
        <f>H241</f>
        <v>0</v>
      </c>
      <c r="T461" s="33">
        <f t="shared" si="17"/>
        <v>0</v>
      </c>
      <c r="V461" s="33">
        <f t="shared" si="16"/>
        <v>0</v>
      </c>
      <c r="W461" s="33">
        <f t="shared" si="16"/>
        <v>0</v>
      </c>
    </row>
    <row r="462" spans="19:23">
      <c r="S462" s="33">
        <f>H242</f>
        <v>0</v>
      </c>
      <c r="T462" s="33">
        <f t="shared" si="17"/>
        <v>0</v>
      </c>
      <c r="V462" s="33">
        <f t="shared" ref="V462:W525" si="18">S462</f>
        <v>0</v>
      </c>
      <c r="W462" s="33">
        <f t="shared" si="18"/>
        <v>0</v>
      </c>
    </row>
    <row r="463" spans="19:23">
      <c r="S463" s="33">
        <f>H243</f>
        <v>0</v>
      </c>
      <c r="T463" s="33">
        <f t="shared" ref="T463:T526" si="19">IF(I242=0,0,I242/$Q$51)</f>
        <v>0</v>
      </c>
      <c r="V463" s="33">
        <f t="shared" si="18"/>
        <v>0</v>
      </c>
      <c r="W463" s="33">
        <f t="shared" si="18"/>
        <v>0</v>
      </c>
    </row>
    <row r="464" spans="19:23">
      <c r="S464" s="33">
        <f>H244</f>
        <v>0</v>
      </c>
      <c r="T464" s="33">
        <f t="shared" si="19"/>
        <v>0</v>
      </c>
      <c r="V464" s="33">
        <f t="shared" si="18"/>
        <v>0</v>
      </c>
      <c r="W464" s="33">
        <f t="shared" si="18"/>
        <v>0</v>
      </c>
    </row>
    <row r="465" spans="19:23">
      <c r="S465" s="33">
        <f>H245</f>
        <v>0</v>
      </c>
      <c r="T465" s="33">
        <f t="shared" si="19"/>
        <v>0</v>
      </c>
      <c r="V465" s="33">
        <f t="shared" si="18"/>
        <v>0</v>
      </c>
      <c r="W465" s="33">
        <f t="shared" si="18"/>
        <v>0</v>
      </c>
    </row>
    <row r="466" spans="19:23">
      <c r="S466" s="33">
        <f>H246</f>
        <v>0</v>
      </c>
      <c r="T466" s="33">
        <f t="shared" si="19"/>
        <v>0</v>
      </c>
      <c r="V466" s="33">
        <f t="shared" si="18"/>
        <v>0</v>
      </c>
      <c r="W466" s="33">
        <f t="shared" si="18"/>
        <v>0</v>
      </c>
    </row>
    <row r="467" spans="19:23">
      <c r="S467" s="33">
        <f>H247</f>
        <v>0</v>
      </c>
      <c r="T467" s="33">
        <f t="shared" si="19"/>
        <v>0</v>
      </c>
      <c r="V467" s="33">
        <f t="shared" si="18"/>
        <v>0</v>
      </c>
      <c r="W467" s="33">
        <f t="shared" si="18"/>
        <v>0</v>
      </c>
    </row>
    <row r="468" spans="19:23">
      <c r="S468" s="33">
        <f>H248</f>
        <v>0</v>
      </c>
      <c r="T468" s="33">
        <f t="shared" si="19"/>
        <v>0</v>
      </c>
      <c r="V468" s="33">
        <f t="shared" si="18"/>
        <v>0</v>
      </c>
      <c r="W468" s="33">
        <f t="shared" si="18"/>
        <v>0</v>
      </c>
    </row>
    <row r="469" spans="19:23">
      <c r="S469" s="33">
        <f>H249</f>
        <v>0</v>
      </c>
      <c r="T469" s="33">
        <f t="shared" si="19"/>
        <v>0</v>
      </c>
      <c r="V469" s="33">
        <f t="shared" si="18"/>
        <v>0</v>
      </c>
      <c r="W469" s="33">
        <f t="shared" si="18"/>
        <v>0</v>
      </c>
    </row>
    <row r="470" spans="19:23">
      <c r="S470" s="33">
        <f>H250</f>
        <v>0</v>
      </c>
      <c r="T470" s="33">
        <f t="shared" si="19"/>
        <v>0</v>
      </c>
      <c r="V470" s="33">
        <f t="shared" si="18"/>
        <v>0</v>
      </c>
      <c r="W470" s="33">
        <f t="shared" si="18"/>
        <v>0</v>
      </c>
    </row>
    <row r="471" spans="19:23">
      <c r="S471" s="33">
        <f>H251</f>
        <v>0</v>
      </c>
      <c r="T471" s="33">
        <f t="shared" si="19"/>
        <v>0</v>
      </c>
      <c r="V471" s="33">
        <f t="shared" si="18"/>
        <v>0</v>
      </c>
      <c r="W471" s="33">
        <f t="shared" si="18"/>
        <v>0</v>
      </c>
    </row>
    <row r="472" spans="19:23">
      <c r="S472" s="33">
        <f>H252</f>
        <v>0</v>
      </c>
      <c r="T472" s="33">
        <f t="shared" si="19"/>
        <v>0</v>
      </c>
      <c r="V472" s="33">
        <f t="shared" si="18"/>
        <v>0</v>
      </c>
      <c r="W472" s="33">
        <f t="shared" si="18"/>
        <v>0</v>
      </c>
    </row>
    <row r="473" spans="19:23">
      <c r="S473" s="33">
        <f>H253</f>
        <v>0</v>
      </c>
      <c r="T473" s="33">
        <f t="shared" si="19"/>
        <v>0</v>
      </c>
      <c r="V473" s="33">
        <f t="shared" si="18"/>
        <v>0</v>
      </c>
      <c r="W473" s="33">
        <f t="shared" si="18"/>
        <v>0</v>
      </c>
    </row>
    <row r="474" spans="19:23">
      <c r="S474" s="33">
        <f>H254</f>
        <v>0</v>
      </c>
      <c r="T474" s="33">
        <f t="shared" si="19"/>
        <v>0</v>
      </c>
      <c r="V474" s="33">
        <f t="shared" si="18"/>
        <v>0</v>
      </c>
      <c r="W474" s="33">
        <f t="shared" si="18"/>
        <v>0</v>
      </c>
    </row>
    <row r="475" spans="19:23">
      <c r="S475" s="33">
        <f>H255</f>
        <v>0</v>
      </c>
      <c r="T475" s="33">
        <f t="shared" si="19"/>
        <v>0</v>
      </c>
      <c r="V475" s="33">
        <f t="shared" si="18"/>
        <v>0</v>
      </c>
      <c r="W475" s="33">
        <f t="shared" si="18"/>
        <v>0</v>
      </c>
    </row>
    <row r="476" spans="19:23">
      <c r="S476" s="33">
        <f>H256</f>
        <v>0</v>
      </c>
      <c r="T476" s="33">
        <f t="shared" si="19"/>
        <v>0</v>
      </c>
      <c r="V476" s="33">
        <f t="shared" si="18"/>
        <v>0</v>
      </c>
      <c r="W476" s="33">
        <f t="shared" si="18"/>
        <v>0</v>
      </c>
    </row>
    <row r="477" spans="19:23">
      <c r="S477" s="33">
        <f>H257</f>
        <v>0</v>
      </c>
      <c r="T477" s="33">
        <f t="shared" si="19"/>
        <v>0</v>
      </c>
      <c r="V477" s="33">
        <f t="shared" si="18"/>
        <v>0</v>
      </c>
      <c r="W477" s="33">
        <f t="shared" si="18"/>
        <v>0</v>
      </c>
    </row>
    <row r="478" spans="19:23">
      <c r="S478" s="33">
        <f>H258</f>
        <v>0</v>
      </c>
      <c r="T478" s="33">
        <f t="shared" si="19"/>
        <v>0</v>
      </c>
      <c r="V478" s="33">
        <f t="shared" si="18"/>
        <v>0</v>
      </c>
      <c r="W478" s="33">
        <f t="shared" si="18"/>
        <v>0</v>
      </c>
    </row>
    <row r="479" spans="19:23">
      <c r="S479" s="33">
        <f>H259</f>
        <v>0</v>
      </c>
      <c r="T479" s="33">
        <f t="shared" si="19"/>
        <v>0</v>
      </c>
      <c r="V479" s="33">
        <f t="shared" si="18"/>
        <v>0</v>
      </c>
      <c r="W479" s="33">
        <f t="shared" si="18"/>
        <v>0</v>
      </c>
    </row>
    <row r="480" spans="19:23">
      <c r="S480" s="33">
        <f>H260</f>
        <v>0</v>
      </c>
      <c r="T480" s="33">
        <f t="shared" si="19"/>
        <v>0</v>
      </c>
      <c r="V480" s="33">
        <f t="shared" si="18"/>
        <v>0</v>
      </c>
      <c r="W480" s="33">
        <f t="shared" si="18"/>
        <v>0</v>
      </c>
    </row>
    <row r="481" spans="19:23">
      <c r="S481" s="33">
        <f>H261</f>
        <v>0</v>
      </c>
      <c r="T481" s="33">
        <f t="shared" si="19"/>
        <v>0</v>
      </c>
      <c r="V481" s="33">
        <f t="shared" si="18"/>
        <v>0</v>
      </c>
      <c r="W481" s="33">
        <f t="shared" si="18"/>
        <v>0</v>
      </c>
    </row>
    <row r="482" spans="19:23">
      <c r="S482" s="33">
        <f>H262</f>
        <v>0</v>
      </c>
      <c r="T482" s="33">
        <f t="shared" si="19"/>
        <v>0</v>
      </c>
      <c r="V482" s="33">
        <f t="shared" si="18"/>
        <v>0</v>
      </c>
      <c r="W482" s="33">
        <f t="shared" si="18"/>
        <v>0</v>
      </c>
    </row>
    <row r="483" spans="19:23">
      <c r="S483" s="33">
        <f>H263</f>
        <v>0</v>
      </c>
      <c r="T483" s="33">
        <f t="shared" si="19"/>
        <v>0</v>
      </c>
      <c r="V483" s="33">
        <f t="shared" si="18"/>
        <v>0</v>
      </c>
      <c r="W483" s="33">
        <f t="shared" si="18"/>
        <v>0</v>
      </c>
    </row>
    <row r="484" spans="19:23">
      <c r="S484" s="33">
        <f>H264</f>
        <v>0</v>
      </c>
      <c r="T484" s="33">
        <f t="shared" si="19"/>
        <v>0</v>
      </c>
      <c r="V484" s="33">
        <f t="shared" si="18"/>
        <v>0</v>
      </c>
      <c r="W484" s="33">
        <f t="shared" si="18"/>
        <v>0</v>
      </c>
    </row>
    <row r="485" spans="19:23">
      <c r="S485" s="33">
        <f>H265</f>
        <v>0</v>
      </c>
      <c r="T485" s="33">
        <f t="shared" si="19"/>
        <v>0</v>
      </c>
      <c r="V485" s="33">
        <f t="shared" si="18"/>
        <v>0</v>
      </c>
      <c r="W485" s="33">
        <f t="shared" si="18"/>
        <v>0</v>
      </c>
    </row>
    <row r="486" spans="19:23">
      <c r="S486" s="33">
        <f>H266</f>
        <v>0</v>
      </c>
      <c r="T486" s="33">
        <f t="shared" si="19"/>
        <v>0</v>
      </c>
      <c r="V486" s="33">
        <f t="shared" si="18"/>
        <v>0</v>
      </c>
      <c r="W486" s="33">
        <f t="shared" si="18"/>
        <v>0</v>
      </c>
    </row>
    <row r="487" spans="19:23">
      <c r="S487" s="33">
        <f>H267</f>
        <v>0</v>
      </c>
      <c r="T487" s="33">
        <f t="shared" si="19"/>
        <v>0</v>
      </c>
      <c r="V487" s="33">
        <f t="shared" si="18"/>
        <v>0</v>
      </c>
      <c r="W487" s="33">
        <f t="shared" si="18"/>
        <v>0</v>
      </c>
    </row>
    <row r="488" spans="19:23">
      <c r="S488" s="33">
        <f>H268</f>
        <v>0</v>
      </c>
      <c r="T488" s="33">
        <f t="shared" si="19"/>
        <v>0</v>
      </c>
      <c r="V488" s="33">
        <f t="shared" si="18"/>
        <v>0</v>
      </c>
      <c r="W488" s="33">
        <f t="shared" si="18"/>
        <v>0</v>
      </c>
    </row>
    <row r="489" spans="19:23">
      <c r="S489" s="33">
        <f>H269</f>
        <v>0</v>
      </c>
      <c r="T489" s="33">
        <f t="shared" si="19"/>
        <v>0</v>
      </c>
      <c r="V489" s="33">
        <f t="shared" si="18"/>
        <v>0</v>
      </c>
      <c r="W489" s="33">
        <f t="shared" si="18"/>
        <v>0</v>
      </c>
    </row>
    <row r="490" spans="19:23">
      <c r="S490" s="33">
        <f>H270</f>
        <v>2205</v>
      </c>
      <c r="T490" s="33">
        <f t="shared" si="19"/>
        <v>0</v>
      </c>
      <c r="V490" s="33">
        <f t="shared" si="18"/>
        <v>2205</v>
      </c>
      <c r="W490" s="33">
        <f t="shared" si="18"/>
        <v>0</v>
      </c>
    </row>
    <row r="491" spans="19:23">
      <c r="S491" s="33">
        <f>H271</f>
        <v>2210</v>
      </c>
      <c r="T491" s="33" t="e">
        <f t="shared" si="19"/>
        <v>#DIV/0!</v>
      </c>
      <c r="V491" s="33">
        <f t="shared" si="18"/>
        <v>2210</v>
      </c>
      <c r="W491" s="33" t="e">
        <f t="shared" si="18"/>
        <v>#DIV/0!</v>
      </c>
    </row>
    <row r="492" spans="19:23">
      <c r="S492" s="33">
        <f>H272</f>
        <v>2215</v>
      </c>
      <c r="T492" s="33" t="e">
        <f t="shared" si="19"/>
        <v>#DIV/0!</v>
      </c>
      <c r="V492" s="33">
        <f t="shared" si="18"/>
        <v>2215</v>
      </c>
      <c r="W492" s="33" t="e">
        <f t="shared" si="18"/>
        <v>#DIV/0!</v>
      </c>
    </row>
    <row r="493" spans="19:23">
      <c r="S493" s="33">
        <f>H273</f>
        <v>2220</v>
      </c>
      <c r="T493" s="33" t="e">
        <f t="shared" si="19"/>
        <v>#DIV/0!</v>
      </c>
      <c r="V493" s="33">
        <f t="shared" si="18"/>
        <v>2220</v>
      </c>
      <c r="W493" s="33" t="e">
        <f t="shared" si="18"/>
        <v>#DIV/0!</v>
      </c>
    </row>
    <row r="494" spans="19:23">
      <c r="S494" s="33">
        <f>H274</f>
        <v>2225</v>
      </c>
      <c r="T494" s="33" t="e">
        <f t="shared" si="19"/>
        <v>#DIV/0!</v>
      </c>
      <c r="V494" s="33">
        <f t="shared" si="18"/>
        <v>2225</v>
      </c>
      <c r="W494" s="33" t="e">
        <f t="shared" si="18"/>
        <v>#DIV/0!</v>
      </c>
    </row>
    <row r="495" spans="19:23">
      <c r="S495" s="33">
        <f>H275</f>
        <v>2230</v>
      </c>
      <c r="T495" s="33" t="e">
        <f t="shared" si="19"/>
        <v>#DIV/0!</v>
      </c>
      <c r="V495" s="33">
        <f t="shared" si="18"/>
        <v>2230</v>
      </c>
      <c r="W495" s="33" t="e">
        <f t="shared" si="18"/>
        <v>#DIV/0!</v>
      </c>
    </row>
    <row r="496" spans="19:23">
      <c r="S496" s="33">
        <f>H276</f>
        <v>2235</v>
      </c>
      <c r="T496" s="33" t="e">
        <f t="shared" si="19"/>
        <v>#DIV/0!</v>
      </c>
      <c r="V496" s="33">
        <f t="shared" si="18"/>
        <v>2235</v>
      </c>
      <c r="W496" s="33" t="e">
        <f t="shared" si="18"/>
        <v>#DIV/0!</v>
      </c>
    </row>
    <row r="497" spans="19:23">
      <c r="S497" s="33">
        <f>H277</f>
        <v>2240</v>
      </c>
      <c r="T497" s="33" t="e">
        <f t="shared" si="19"/>
        <v>#DIV/0!</v>
      </c>
      <c r="V497" s="33">
        <f t="shared" si="18"/>
        <v>2240</v>
      </c>
      <c r="W497" s="33" t="e">
        <f t="shared" si="18"/>
        <v>#DIV/0!</v>
      </c>
    </row>
    <row r="498" spans="19:23">
      <c r="S498" s="33">
        <f>H278</f>
        <v>2245</v>
      </c>
      <c r="T498" s="33" t="e">
        <f t="shared" si="19"/>
        <v>#DIV/0!</v>
      </c>
      <c r="V498" s="33">
        <f t="shared" si="18"/>
        <v>2245</v>
      </c>
      <c r="W498" s="33" t="e">
        <f t="shared" si="18"/>
        <v>#DIV/0!</v>
      </c>
    </row>
    <row r="499" spans="19:23">
      <c r="S499" s="33">
        <f>H279</f>
        <v>2250</v>
      </c>
      <c r="T499" s="33" t="e">
        <f t="shared" si="19"/>
        <v>#DIV/0!</v>
      </c>
      <c r="V499" s="33">
        <f t="shared" si="18"/>
        <v>2250</v>
      </c>
      <c r="W499" s="33" t="e">
        <f t="shared" si="18"/>
        <v>#DIV/0!</v>
      </c>
    </row>
    <row r="500" spans="19:23">
      <c r="S500" s="33">
        <f>H280</f>
        <v>2255</v>
      </c>
      <c r="T500" s="33" t="e">
        <f t="shared" si="19"/>
        <v>#DIV/0!</v>
      </c>
      <c r="V500" s="33">
        <f t="shared" si="18"/>
        <v>2255</v>
      </c>
      <c r="W500" s="33" t="e">
        <f t="shared" si="18"/>
        <v>#DIV/0!</v>
      </c>
    </row>
    <row r="501" spans="19:23">
      <c r="S501" s="33">
        <f>H281</f>
        <v>2260</v>
      </c>
      <c r="T501" s="33" t="e">
        <f t="shared" si="19"/>
        <v>#DIV/0!</v>
      </c>
      <c r="V501" s="33">
        <f t="shared" si="18"/>
        <v>2260</v>
      </c>
      <c r="W501" s="33" t="e">
        <f t="shared" si="18"/>
        <v>#DIV/0!</v>
      </c>
    </row>
    <row r="502" spans="19:23">
      <c r="S502" s="33">
        <f>H282</f>
        <v>2265</v>
      </c>
      <c r="T502" s="33" t="e">
        <f t="shared" si="19"/>
        <v>#DIV/0!</v>
      </c>
      <c r="V502" s="33">
        <f t="shared" si="18"/>
        <v>2265</v>
      </c>
      <c r="W502" s="33" t="e">
        <f t="shared" si="18"/>
        <v>#DIV/0!</v>
      </c>
    </row>
    <row r="503" spans="19:23">
      <c r="S503" s="33">
        <f>H283</f>
        <v>2270</v>
      </c>
      <c r="T503" s="33" t="e">
        <f t="shared" si="19"/>
        <v>#DIV/0!</v>
      </c>
      <c r="V503" s="33">
        <f t="shared" si="18"/>
        <v>2270</v>
      </c>
      <c r="W503" s="33" t="e">
        <f t="shared" si="18"/>
        <v>#DIV/0!</v>
      </c>
    </row>
    <row r="504" spans="19:23">
      <c r="S504" s="33">
        <f>H284</f>
        <v>2275</v>
      </c>
      <c r="T504" s="33" t="e">
        <f t="shared" si="19"/>
        <v>#DIV/0!</v>
      </c>
      <c r="V504" s="33">
        <f t="shared" si="18"/>
        <v>2275</v>
      </c>
      <c r="W504" s="33" t="e">
        <f t="shared" si="18"/>
        <v>#DIV/0!</v>
      </c>
    </row>
    <row r="505" spans="19:23">
      <c r="S505" s="33">
        <f>H285</f>
        <v>2280</v>
      </c>
      <c r="T505" s="33" t="e">
        <f t="shared" si="19"/>
        <v>#DIV/0!</v>
      </c>
      <c r="V505" s="33">
        <f t="shared" si="18"/>
        <v>2280</v>
      </c>
      <c r="W505" s="33" t="e">
        <f t="shared" si="18"/>
        <v>#DIV/0!</v>
      </c>
    </row>
    <row r="506" spans="19:23">
      <c r="S506" s="33">
        <f>H286</f>
        <v>2285</v>
      </c>
      <c r="T506" s="33" t="e">
        <f t="shared" si="19"/>
        <v>#DIV/0!</v>
      </c>
      <c r="V506" s="33">
        <f t="shared" si="18"/>
        <v>2285</v>
      </c>
      <c r="W506" s="33" t="e">
        <f t="shared" si="18"/>
        <v>#DIV/0!</v>
      </c>
    </row>
    <row r="507" spans="19:23">
      <c r="S507" s="33">
        <f>H287</f>
        <v>2290</v>
      </c>
      <c r="T507" s="33" t="e">
        <f t="shared" si="19"/>
        <v>#DIV/0!</v>
      </c>
      <c r="V507" s="33">
        <f t="shared" si="18"/>
        <v>2290</v>
      </c>
      <c r="W507" s="33" t="e">
        <f t="shared" si="18"/>
        <v>#DIV/0!</v>
      </c>
    </row>
    <row r="508" spans="19:23">
      <c r="S508" s="33">
        <f>H288</f>
        <v>2295</v>
      </c>
      <c r="T508" s="33" t="e">
        <f t="shared" si="19"/>
        <v>#DIV/0!</v>
      </c>
      <c r="V508" s="33">
        <f t="shared" si="18"/>
        <v>2295</v>
      </c>
      <c r="W508" s="33" t="e">
        <f t="shared" si="18"/>
        <v>#DIV/0!</v>
      </c>
    </row>
    <row r="509" spans="19:23">
      <c r="S509" s="33">
        <f>H289</f>
        <v>2300</v>
      </c>
      <c r="T509" s="33" t="e">
        <f t="shared" si="19"/>
        <v>#DIV/0!</v>
      </c>
      <c r="V509" s="33">
        <f t="shared" si="18"/>
        <v>2300</v>
      </c>
      <c r="W509" s="33" t="e">
        <f t="shared" si="18"/>
        <v>#DIV/0!</v>
      </c>
    </row>
    <row r="510" spans="19:23">
      <c r="S510" s="33">
        <f>H290</f>
        <v>2305</v>
      </c>
      <c r="T510" s="33" t="e">
        <f t="shared" si="19"/>
        <v>#DIV/0!</v>
      </c>
      <c r="V510" s="33">
        <f t="shared" si="18"/>
        <v>2305</v>
      </c>
      <c r="W510" s="33" t="e">
        <f t="shared" si="18"/>
        <v>#DIV/0!</v>
      </c>
    </row>
    <row r="511" spans="19:23">
      <c r="S511" s="33">
        <f>H291</f>
        <v>2310</v>
      </c>
      <c r="T511" s="33" t="e">
        <f t="shared" si="19"/>
        <v>#DIV/0!</v>
      </c>
      <c r="V511" s="33">
        <f t="shared" si="18"/>
        <v>2310</v>
      </c>
      <c r="W511" s="33" t="e">
        <f t="shared" si="18"/>
        <v>#DIV/0!</v>
      </c>
    </row>
    <row r="512" spans="19:23">
      <c r="S512" s="33">
        <f>H292</f>
        <v>2315</v>
      </c>
      <c r="T512" s="33" t="e">
        <f t="shared" si="19"/>
        <v>#DIV/0!</v>
      </c>
      <c r="V512" s="33">
        <f t="shared" si="18"/>
        <v>2315</v>
      </c>
      <c r="W512" s="33" t="e">
        <f t="shared" si="18"/>
        <v>#DIV/0!</v>
      </c>
    </row>
    <row r="513" spans="19:23">
      <c r="S513" s="33">
        <f>H293</f>
        <v>2320</v>
      </c>
      <c r="T513" s="33" t="e">
        <f t="shared" si="19"/>
        <v>#DIV/0!</v>
      </c>
      <c r="V513" s="33">
        <f t="shared" si="18"/>
        <v>2320</v>
      </c>
      <c r="W513" s="33" t="e">
        <f t="shared" si="18"/>
        <v>#DIV/0!</v>
      </c>
    </row>
    <row r="514" spans="19:23">
      <c r="S514" s="33">
        <f>H294</f>
        <v>2325</v>
      </c>
      <c r="T514" s="33" t="e">
        <f t="shared" si="19"/>
        <v>#DIV/0!</v>
      </c>
      <c r="V514" s="33">
        <f t="shared" si="18"/>
        <v>2325</v>
      </c>
      <c r="W514" s="33" t="e">
        <f t="shared" si="18"/>
        <v>#DIV/0!</v>
      </c>
    </row>
    <row r="515" spans="19:23">
      <c r="S515" s="33">
        <f>H295</f>
        <v>2330</v>
      </c>
      <c r="T515" s="33" t="e">
        <f t="shared" si="19"/>
        <v>#DIV/0!</v>
      </c>
      <c r="V515" s="33">
        <f t="shared" si="18"/>
        <v>2330</v>
      </c>
      <c r="W515" s="33" t="e">
        <f t="shared" si="18"/>
        <v>#DIV/0!</v>
      </c>
    </row>
    <row r="516" spans="19:23">
      <c r="S516" s="33">
        <f>H296</f>
        <v>2335</v>
      </c>
      <c r="T516" s="33" t="e">
        <f t="shared" si="19"/>
        <v>#DIV/0!</v>
      </c>
      <c r="V516" s="33">
        <f t="shared" si="18"/>
        <v>2335</v>
      </c>
      <c r="W516" s="33" t="e">
        <f t="shared" si="18"/>
        <v>#DIV/0!</v>
      </c>
    </row>
    <row r="517" spans="19:23">
      <c r="S517" s="33">
        <f>H297</f>
        <v>2340</v>
      </c>
      <c r="T517" s="33" t="e">
        <f t="shared" si="19"/>
        <v>#DIV/0!</v>
      </c>
      <c r="V517" s="33">
        <f t="shared" si="18"/>
        <v>2340</v>
      </c>
      <c r="W517" s="33" t="e">
        <f t="shared" si="18"/>
        <v>#DIV/0!</v>
      </c>
    </row>
    <row r="518" spans="19:23">
      <c r="S518" s="33">
        <f>H298</f>
        <v>2345</v>
      </c>
      <c r="T518" s="33" t="e">
        <f t="shared" si="19"/>
        <v>#DIV/0!</v>
      </c>
      <c r="V518" s="33">
        <f t="shared" si="18"/>
        <v>2345</v>
      </c>
      <c r="W518" s="33" t="e">
        <f t="shared" si="18"/>
        <v>#DIV/0!</v>
      </c>
    </row>
    <row r="519" spans="19:23">
      <c r="S519" s="33">
        <f>H299</f>
        <v>2350</v>
      </c>
      <c r="T519" s="33" t="e">
        <f t="shared" si="19"/>
        <v>#DIV/0!</v>
      </c>
      <c r="V519" s="33">
        <f t="shared" si="18"/>
        <v>2350</v>
      </c>
      <c r="W519" s="33" t="e">
        <f t="shared" si="18"/>
        <v>#DIV/0!</v>
      </c>
    </row>
    <row r="520" spans="19:23">
      <c r="S520" s="33">
        <f>H300</f>
        <v>2355</v>
      </c>
      <c r="T520" s="33" t="e">
        <f t="shared" si="19"/>
        <v>#DIV/0!</v>
      </c>
      <c r="V520" s="33">
        <f t="shared" si="18"/>
        <v>2355</v>
      </c>
      <c r="W520" s="33" t="e">
        <f t="shared" si="18"/>
        <v>#DIV/0!</v>
      </c>
    </row>
    <row r="521" spans="19:23">
      <c r="S521" s="33">
        <f>H301</f>
        <v>2360</v>
      </c>
      <c r="T521" s="33" t="e">
        <f t="shared" si="19"/>
        <v>#DIV/0!</v>
      </c>
      <c r="V521" s="33">
        <f t="shared" si="18"/>
        <v>2360</v>
      </c>
      <c r="W521" s="33" t="e">
        <f t="shared" si="18"/>
        <v>#DIV/0!</v>
      </c>
    </row>
    <row r="522" spans="19:23">
      <c r="S522" s="33">
        <f>H302</f>
        <v>2365</v>
      </c>
      <c r="T522" s="33" t="e">
        <f t="shared" si="19"/>
        <v>#DIV/0!</v>
      </c>
      <c r="V522" s="33">
        <f t="shared" si="18"/>
        <v>2365</v>
      </c>
      <c r="W522" s="33" t="e">
        <f t="shared" si="18"/>
        <v>#DIV/0!</v>
      </c>
    </row>
    <row r="523" spans="19:23">
      <c r="S523" s="33">
        <f>H303</f>
        <v>2370</v>
      </c>
      <c r="T523" s="33" t="e">
        <f t="shared" si="19"/>
        <v>#DIV/0!</v>
      </c>
      <c r="V523" s="33">
        <f t="shared" si="18"/>
        <v>2370</v>
      </c>
      <c r="W523" s="33" t="e">
        <f t="shared" si="18"/>
        <v>#DIV/0!</v>
      </c>
    </row>
    <row r="524" spans="19:23">
      <c r="S524" s="33">
        <f>H304</f>
        <v>2375</v>
      </c>
      <c r="T524" s="33" t="e">
        <f t="shared" si="19"/>
        <v>#DIV/0!</v>
      </c>
      <c r="V524" s="33">
        <f t="shared" si="18"/>
        <v>2375</v>
      </c>
      <c r="W524" s="33" t="e">
        <f t="shared" si="18"/>
        <v>#DIV/0!</v>
      </c>
    </row>
    <row r="525" spans="19:23">
      <c r="S525" s="33">
        <f>H305</f>
        <v>2380</v>
      </c>
      <c r="T525" s="33" t="e">
        <f t="shared" si="19"/>
        <v>#DIV/0!</v>
      </c>
      <c r="V525" s="33">
        <f t="shared" si="18"/>
        <v>2380</v>
      </c>
      <c r="W525" s="33" t="e">
        <f t="shared" si="18"/>
        <v>#DIV/0!</v>
      </c>
    </row>
    <row r="526" spans="19:23">
      <c r="S526" s="33">
        <f>H306</f>
        <v>2385</v>
      </c>
      <c r="T526" s="33" t="e">
        <f t="shared" si="19"/>
        <v>#DIV/0!</v>
      </c>
      <c r="V526" s="33">
        <f t="shared" ref="V526:W589" si="20">S526</f>
        <v>2385</v>
      </c>
      <c r="W526" s="33" t="e">
        <f t="shared" si="20"/>
        <v>#DIV/0!</v>
      </c>
    </row>
    <row r="527" spans="19:23">
      <c r="S527" s="33">
        <f>H307</f>
        <v>2390</v>
      </c>
      <c r="T527" s="33" t="e">
        <f t="shared" ref="T527:T590" si="21">IF(I306=0,0,I306/$Q$51)</f>
        <v>#DIV/0!</v>
      </c>
      <c r="V527" s="33">
        <f t="shared" si="20"/>
        <v>2390</v>
      </c>
      <c r="W527" s="33" t="e">
        <f t="shared" si="20"/>
        <v>#DIV/0!</v>
      </c>
    </row>
    <row r="528" spans="19:23">
      <c r="S528" s="33">
        <f>H308</f>
        <v>2395</v>
      </c>
      <c r="T528" s="33" t="e">
        <f t="shared" si="21"/>
        <v>#DIV/0!</v>
      </c>
      <c r="V528" s="33">
        <f t="shared" si="20"/>
        <v>2395</v>
      </c>
      <c r="W528" s="33" t="e">
        <f t="shared" si="20"/>
        <v>#DIV/0!</v>
      </c>
    </row>
    <row r="529" spans="19:23">
      <c r="S529" s="33">
        <f>H309</f>
        <v>2400</v>
      </c>
      <c r="T529" s="33" t="e">
        <f t="shared" si="21"/>
        <v>#DIV/0!</v>
      </c>
      <c r="V529" s="33">
        <f t="shared" si="20"/>
        <v>2400</v>
      </c>
      <c r="W529" s="33" t="e">
        <f t="shared" si="20"/>
        <v>#DIV/0!</v>
      </c>
    </row>
    <row r="530" spans="19:23">
      <c r="S530" s="33">
        <f>H310</f>
        <v>2405</v>
      </c>
      <c r="T530" s="33" t="e">
        <f t="shared" si="21"/>
        <v>#DIV/0!</v>
      </c>
      <c r="V530" s="33">
        <f t="shared" si="20"/>
        <v>2405</v>
      </c>
      <c r="W530" s="33" t="e">
        <f t="shared" si="20"/>
        <v>#DIV/0!</v>
      </c>
    </row>
    <row r="531" spans="19:23">
      <c r="S531" s="33">
        <f>H311</f>
        <v>2410</v>
      </c>
      <c r="T531" s="33" t="e">
        <f t="shared" si="21"/>
        <v>#DIV/0!</v>
      </c>
      <c r="V531" s="33">
        <f t="shared" si="20"/>
        <v>2410</v>
      </c>
      <c r="W531" s="33" t="e">
        <f t="shared" si="20"/>
        <v>#DIV/0!</v>
      </c>
    </row>
    <row r="532" spans="19:23">
      <c r="S532" s="33">
        <f>H312</f>
        <v>2415</v>
      </c>
      <c r="T532" s="33" t="e">
        <f t="shared" si="21"/>
        <v>#DIV/0!</v>
      </c>
      <c r="V532" s="33">
        <f t="shared" si="20"/>
        <v>2415</v>
      </c>
      <c r="W532" s="33" t="e">
        <f t="shared" si="20"/>
        <v>#DIV/0!</v>
      </c>
    </row>
    <row r="533" spans="19:23">
      <c r="S533" s="33">
        <f>H313</f>
        <v>2420</v>
      </c>
      <c r="T533" s="33" t="e">
        <f t="shared" si="21"/>
        <v>#DIV/0!</v>
      </c>
      <c r="V533" s="33">
        <f t="shared" si="20"/>
        <v>2420</v>
      </c>
      <c r="W533" s="33" t="e">
        <f t="shared" si="20"/>
        <v>#DIV/0!</v>
      </c>
    </row>
    <row r="534" spans="19:23">
      <c r="S534" s="33">
        <f>H314</f>
        <v>2425</v>
      </c>
      <c r="T534" s="33" t="e">
        <f t="shared" si="21"/>
        <v>#DIV/0!</v>
      </c>
      <c r="V534" s="33">
        <f t="shared" si="20"/>
        <v>2425</v>
      </c>
      <c r="W534" s="33" t="e">
        <f t="shared" si="20"/>
        <v>#DIV/0!</v>
      </c>
    </row>
    <row r="535" spans="19:23">
      <c r="S535" s="33">
        <f>H315</f>
        <v>2430</v>
      </c>
      <c r="T535" s="33" t="e">
        <f t="shared" si="21"/>
        <v>#DIV/0!</v>
      </c>
      <c r="V535" s="33">
        <f t="shared" si="20"/>
        <v>2430</v>
      </c>
      <c r="W535" s="33" t="e">
        <f t="shared" si="20"/>
        <v>#DIV/0!</v>
      </c>
    </row>
    <row r="536" spans="19:23">
      <c r="S536" s="33">
        <f>H316</f>
        <v>2435</v>
      </c>
      <c r="T536" s="33" t="e">
        <f t="shared" si="21"/>
        <v>#DIV/0!</v>
      </c>
      <c r="V536" s="33">
        <f t="shared" si="20"/>
        <v>2435</v>
      </c>
      <c r="W536" s="33" t="e">
        <f t="shared" si="20"/>
        <v>#DIV/0!</v>
      </c>
    </row>
    <row r="537" spans="19:23">
      <c r="S537" s="33">
        <f>H317</f>
        <v>2440</v>
      </c>
      <c r="T537" s="33" t="e">
        <f t="shared" si="21"/>
        <v>#DIV/0!</v>
      </c>
      <c r="V537" s="33">
        <f t="shared" si="20"/>
        <v>2440</v>
      </c>
      <c r="W537" s="33" t="e">
        <f t="shared" si="20"/>
        <v>#DIV/0!</v>
      </c>
    </row>
    <row r="538" spans="19:23">
      <c r="S538" s="33">
        <f>H318</f>
        <v>2445</v>
      </c>
      <c r="T538" s="33" t="e">
        <f t="shared" si="21"/>
        <v>#DIV/0!</v>
      </c>
      <c r="V538" s="33">
        <f t="shared" si="20"/>
        <v>2445</v>
      </c>
      <c r="W538" s="33" t="e">
        <f t="shared" si="20"/>
        <v>#DIV/0!</v>
      </c>
    </row>
    <row r="539" spans="19:23">
      <c r="S539" s="33">
        <f>H319</f>
        <v>2450</v>
      </c>
      <c r="T539" s="33" t="e">
        <f t="shared" si="21"/>
        <v>#DIV/0!</v>
      </c>
      <c r="V539" s="33">
        <f t="shared" si="20"/>
        <v>2450</v>
      </c>
      <c r="W539" s="33" t="e">
        <f t="shared" si="20"/>
        <v>#DIV/0!</v>
      </c>
    </row>
    <row r="540" spans="19:23">
      <c r="S540" s="33">
        <f>H320</f>
        <v>2455</v>
      </c>
      <c r="T540" s="33" t="e">
        <f t="shared" si="21"/>
        <v>#DIV/0!</v>
      </c>
      <c r="V540" s="33">
        <f t="shared" si="20"/>
        <v>2455</v>
      </c>
      <c r="W540" s="33" t="e">
        <f t="shared" si="20"/>
        <v>#DIV/0!</v>
      </c>
    </row>
    <row r="541" spans="19:23">
      <c r="S541" s="33">
        <f>H321</f>
        <v>2460</v>
      </c>
      <c r="T541" s="33" t="e">
        <f t="shared" si="21"/>
        <v>#DIV/0!</v>
      </c>
      <c r="V541" s="33">
        <f t="shared" si="20"/>
        <v>2460</v>
      </c>
      <c r="W541" s="33" t="e">
        <f t="shared" si="20"/>
        <v>#DIV/0!</v>
      </c>
    </row>
    <row r="542" spans="19:23">
      <c r="S542" s="33">
        <f>H322</f>
        <v>2465</v>
      </c>
      <c r="T542" s="33" t="e">
        <f t="shared" si="21"/>
        <v>#DIV/0!</v>
      </c>
      <c r="V542" s="33">
        <f t="shared" si="20"/>
        <v>2465</v>
      </c>
      <c r="W542" s="33" t="e">
        <f t="shared" si="20"/>
        <v>#DIV/0!</v>
      </c>
    </row>
    <row r="543" spans="19:23">
      <c r="S543" s="33">
        <f>H323</f>
        <v>2470</v>
      </c>
      <c r="T543" s="33" t="e">
        <f t="shared" si="21"/>
        <v>#DIV/0!</v>
      </c>
      <c r="V543" s="33">
        <f t="shared" si="20"/>
        <v>2470</v>
      </c>
      <c r="W543" s="33" t="e">
        <f t="shared" si="20"/>
        <v>#DIV/0!</v>
      </c>
    </row>
    <row r="544" spans="19:23">
      <c r="S544" s="33">
        <f>H324</f>
        <v>2475</v>
      </c>
      <c r="T544" s="33" t="e">
        <f t="shared" si="21"/>
        <v>#DIV/0!</v>
      </c>
      <c r="V544" s="33">
        <f t="shared" si="20"/>
        <v>2475</v>
      </c>
      <c r="W544" s="33" t="e">
        <f t="shared" si="20"/>
        <v>#DIV/0!</v>
      </c>
    </row>
    <row r="545" spans="19:23">
      <c r="S545" s="33">
        <f>H325</f>
        <v>2480</v>
      </c>
      <c r="T545" s="33" t="e">
        <f t="shared" si="21"/>
        <v>#DIV/0!</v>
      </c>
      <c r="V545" s="33">
        <f t="shared" si="20"/>
        <v>2480</v>
      </c>
      <c r="W545" s="33" t="e">
        <f t="shared" si="20"/>
        <v>#DIV/0!</v>
      </c>
    </row>
    <row r="546" spans="19:23">
      <c r="S546" s="33">
        <f>H326</f>
        <v>2485</v>
      </c>
      <c r="T546" s="33" t="e">
        <f t="shared" si="21"/>
        <v>#DIV/0!</v>
      </c>
      <c r="V546" s="33">
        <f t="shared" si="20"/>
        <v>2485</v>
      </c>
      <c r="W546" s="33" t="e">
        <f t="shared" si="20"/>
        <v>#DIV/0!</v>
      </c>
    </row>
    <row r="547" spans="19:23">
      <c r="S547" s="33">
        <f>H327</f>
        <v>2490</v>
      </c>
      <c r="T547" s="33" t="e">
        <f t="shared" si="21"/>
        <v>#DIV/0!</v>
      </c>
      <c r="V547" s="33">
        <f t="shared" si="20"/>
        <v>2490</v>
      </c>
      <c r="W547" s="33" t="e">
        <f t="shared" si="20"/>
        <v>#DIV/0!</v>
      </c>
    </row>
    <row r="548" spans="19:23">
      <c r="S548" s="33">
        <f>H328</f>
        <v>2495</v>
      </c>
      <c r="T548" s="33" t="e">
        <f t="shared" si="21"/>
        <v>#DIV/0!</v>
      </c>
      <c r="V548" s="33">
        <f t="shared" si="20"/>
        <v>2495</v>
      </c>
      <c r="W548" s="33" t="e">
        <f t="shared" si="20"/>
        <v>#DIV/0!</v>
      </c>
    </row>
    <row r="549" spans="19:23">
      <c r="S549" s="33">
        <f>H329</f>
        <v>2500</v>
      </c>
      <c r="T549" s="33" t="e">
        <f t="shared" si="21"/>
        <v>#DIV/0!</v>
      </c>
      <c r="V549" s="33">
        <f t="shared" si="20"/>
        <v>2500</v>
      </c>
      <c r="W549" s="33" t="e">
        <f t="shared" si="20"/>
        <v>#DIV/0!</v>
      </c>
    </row>
    <row r="550" spans="19:23">
      <c r="S550" s="33">
        <f>H330</f>
        <v>2505</v>
      </c>
      <c r="T550" s="33" t="e">
        <f t="shared" si="21"/>
        <v>#DIV/0!</v>
      </c>
      <c r="V550" s="33">
        <f t="shared" si="20"/>
        <v>2505</v>
      </c>
      <c r="W550" s="33" t="e">
        <f t="shared" si="20"/>
        <v>#DIV/0!</v>
      </c>
    </row>
    <row r="551" spans="19:23">
      <c r="S551" s="33">
        <f>H331</f>
        <v>2510</v>
      </c>
      <c r="T551" s="33" t="e">
        <f t="shared" si="21"/>
        <v>#DIV/0!</v>
      </c>
      <c r="V551" s="33">
        <f t="shared" si="20"/>
        <v>2510</v>
      </c>
      <c r="W551" s="33" t="e">
        <f t="shared" si="20"/>
        <v>#DIV/0!</v>
      </c>
    </row>
    <row r="552" spans="19:23">
      <c r="S552" s="33">
        <f>H332</f>
        <v>2515</v>
      </c>
      <c r="T552" s="33" t="e">
        <f t="shared" si="21"/>
        <v>#DIV/0!</v>
      </c>
      <c r="V552" s="33">
        <f t="shared" si="20"/>
        <v>2515</v>
      </c>
      <c r="W552" s="33" t="e">
        <f t="shared" si="20"/>
        <v>#DIV/0!</v>
      </c>
    </row>
    <row r="553" spans="19:23">
      <c r="S553" s="33">
        <f>H333</f>
        <v>2520</v>
      </c>
      <c r="T553" s="33" t="e">
        <f t="shared" si="21"/>
        <v>#DIV/0!</v>
      </c>
      <c r="V553" s="33">
        <f t="shared" si="20"/>
        <v>2520</v>
      </c>
      <c r="W553" s="33" t="e">
        <f t="shared" si="20"/>
        <v>#DIV/0!</v>
      </c>
    </row>
    <row r="554" spans="19:23">
      <c r="S554" s="33">
        <f>H334</f>
        <v>2525</v>
      </c>
      <c r="T554" s="33" t="e">
        <f t="shared" si="21"/>
        <v>#DIV/0!</v>
      </c>
      <c r="V554" s="33">
        <f t="shared" si="20"/>
        <v>2525</v>
      </c>
      <c r="W554" s="33" t="e">
        <f t="shared" si="20"/>
        <v>#DIV/0!</v>
      </c>
    </row>
    <row r="555" spans="19:23">
      <c r="S555" s="33">
        <f>H335</f>
        <v>2530</v>
      </c>
      <c r="T555" s="33" t="e">
        <f t="shared" si="21"/>
        <v>#DIV/0!</v>
      </c>
      <c r="V555" s="33">
        <f t="shared" si="20"/>
        <v>2530</v>
      </c>
      <c r="W555" s="33" t="e">
        <f t="shared" si="20"/>
        <v>#DIV/0!</v>
      </c>
    </row>
    <row r="556" spans="19:23">
      <c r="S556" s="33">
        <f>H336</f>
        <v>2535</v>
      </c>
      <c r="T556" s="33" t="e">
        <f t="shared" si="21"/>
        <v>#DIV/0!</v>
      </c>
      <c r="V556" s="33">
        <f t="shared" si="20"/>
        <v>2535</v>
      </c>
      <c r="W556" s="33" t="e">
        <f t="shared" si="20"/>
        <v>#DIV/0!</v>
      </c>
    </row>
    <row r="557" spans="19:23">
      <c r="S557" s="33">
        <f>H337</f>
        <v>2540</v>
      </c>
      <c r="T557" s="33" t="e">
        <f t="shared" si="21"/>
        <v>#DIV/0!</v>
      </c>
      <c r="V557" s="33">
        <f t="shared" si="20"/>
        <v>2540</v>
      </c>
      <c r="W557" s="33" t="e">
        <f t="shared" si="20"/>
        <v>#DIV/0!</v>
      </c>
    </row>
    <row r="558" spans="19:23">
      <c r="S558" s="33">
        <f>H338</f>
        <v>2545</v>
      </c>
      <c r="T558" s="33" t="e">
        <f t="shared" si="21"/>
        <v>#DIV/0!</v>
      </c>
      <c r="V558" s="33">
        <f t="shared" si="20"/>
        <v>2545</v>
      </c>
      <c r="W558" s="33" t="e">
        <f t="shared" si="20"/>
        <v>#DIV/0!</v>
      </c>
    </row>
    <row r="559" spans="19:23">
      <c r="S559" s="33">
        <f>H339</f>
        <v>2550</v>
      </c>
      <c r="T559" s="33" t="e">
        <f t="shared" si="21"/>
        <v>#DIV/0!</v>
      </c>
      <c r="V559" s="33">
        <f t="shared" si="20"/>
        <v>2550</v>
      </c>
      <c r="W559" s="33" t="e">
        <f t="shared" si="20"/>
        <v>#DIV/0!</v>
      </c>
    </row>
    <row r="560" spans="19:23">
      <c r="S560" s="33">
        <f>H340</f>
        <v>2555</v>
      </c>
      <c r="T560" s="33" t="e">
        <f t="shared" si="21"/>
        <v>#DIV/0!</v>
      </c>
      <c r="V560" s="33">
        <f t="shared" si="20"/>
        <v>2555</v>
      </c>
      <c r="W560" s="33" t="e">
        <f t="shared" si="20"/>
        <v>#DIV/0!</v>
      </c>
    </row>
    <row r="561" spans="19:23">
      <c r="S561" s="33">
        <f>H341</f>
        <v>2560</v>
      </c>
      <c r="T561" s="33" t="e">
        <f t="shared" si="21"/>
        <v>#DIV/0!</v>
      </c>
      <c r="V561" s="33">
        <f t="shared" si="20"/>
        <v>2560</v>
      </c>
      <c r="W561" s="33" t="e">
        <f t="shared" si="20"/>
        <v>#DIV/0!</v>
      </c>
    </row>
    <row r="562" spans="19:23">
      <c r="S562" s="33">
        <f>H342</f>
        <v>2565</v>
      </c>
      <c r="T562" s="33" t="e">
        <f t="shared" si="21"/>
        <v>#DIV/0!</v>
      </c>
      <c r="V562" s="33">
        <f t="shared" si="20"/>
        <v>2565</v>
      </c>
      <c r="W562" s="33" t="e">
        <f t="shared" si="20"/>
        <v>#DIV/0!</v>
      </c>
    </row>
    <row r="563" spans="19:23">
      <c r="S563" s="33">
        <f>H343</f>
        <v>2570</v>
      </c>
      <c r="T563" s="33" t="e">
        <f t="shared" si="21"/>
        <v>#DIV/0!</v>
      </c>
      <c r="V563" s="33">
        <f t="shared" si="20"/>
        <v>2570</v>
      </c>
      <c r="W563" s="33" t="e">
        <f t="shared" si="20"/>
        <v>#DIV/0!</v>
      </c>
    </row>
    <row r="564" spans="19:23">
      <c r="S564" s="33">
        <f>H344</f>
        <v>2575</v>
      </c>
      <c r="T564" s="33" t="e">
        <f t="shared" si="21"/>
        <v>#DIV/0!</v>
      </c>
      <c r="V564" s="33">
        <f t="shared" si="20"/>
        <v>2575</v>
      </c>
      <c r="W564" s="33" t="e">
        <f t="shared" si="20"/>
        <v>#DIV/0!</v>
      </c>
    </row>
    <row r="565" spans="19:23">
      <c r="S565" s="33">
        <f>H345</f>
        <v>2580</v>
      </c>
      <c r="T565" s="33" t="e">
        <f t="shared" si="21"/>
        <v>#DIV/0!</v>
      </c>
      <c r="V565" s="33">
        <f t="shared" si="20"/>
        <v>2580</v>
      </c>
      <c r="W565" s="33" t="e">
        <f t="shared" si="20"/>
        <v>#DIV/0!</v>
      </c>
    </row>
    <row r="566" spans="19:23">
      <c r="S566" s="33">
        <f>H346</f>
        <v>2585</v>
      </c>
      <c r="T566" s="33" t="e">
        <f t="shared" si="21"/>
        <v>#DIV/0!</v>
      </c>
      <c r="V566" s="33">
        <f t="shared" si="20"/>
        <v>2585</v>
      </c>
      <c r="W566" s="33" t="e">
        <f t="shared" si="20"/>
        <v>#DIV/0!</v>
      </c>
    </row>
    <row r="567" spans="19:23">
      <c r="S567" s="33">
        <f>H347</f>
        <v>2590</v>
      </c>
      <c r="T567" s="33" t="e">
        <f t="shared" si="21"/>
        <v>#DIV/0!</v>
      </c>
      <c r="V567" s="33">
        <f t="shared" si="20"/>
        <v>2590</v>
      </c>
      <c r="W567" s="33" t="e">
        <f t="shared" si="20"/>
        <v>#DIV/0!</v>
      </c>
    </row>
    <row r="568" spans="19:23">
      <c r="S568" s="33">
        <f>H348</f>
        <v>2595</v>
      </c>
      <c r="T568" s="33" t="e">
        <f t="shared" si="21"/>
        <v>#DIV/0!</v>
      </c>
      <c r="V568" s="33">
        <f t="shared" si="20"/>
        <v>2595</v>
      </c>
      <c r="W568" s="33" t="e">
        <f t="shared" si="20"/>
        <v>#DIV/0!</v>
      </c>
    </row>
    <row r="569" spans="19:23">
      <c r="S569" s="33">
        <f>H349</f>
        <v>2600</v>
      </c>
      <c r="T569" s="33" t="e">
        <f t="shared" si="21"/>
        <v>#DIV/0!</v>
      </c>
      <c r="V569" s="33">
        <f t="shared" si="20"/>
        <v>2600</v>
      </c>
      <c r="W569" s="33" t="e">
        <f t="shared" si="20"/>
        <v>#DIV/0!</v>
      </c>
    </row>
    <row r="570" spans="19:23">
      <c r="S570" s="33">
        <f>H350</f>
        <v>2605</v>
      </c>
      <c r="T570" s="33" t="e">
        <f t="shared" si="21"/>
        <v>#DIV/0!</v>
      </c>
      <c r="V570" s="33">
        <f t="shared" si="20"/>
        <v>2605</v>
      </c>
      <c r="W570" s="33" t="e">
        <f t="shared" si="20"/>
        <v>#DIV/0!</v>
      </c>
    </row>
    <row r="571" spans="19:23">
      <c r="S571" s="33">
        <f>H351</f>
        <v>2610</v>
      </c>
      <c r="T571" s="33" t="e">
        <f t="shared" si="21"/>
        <v>#DIV/0!</v>
      </c>
      <c r="V571" s="33">
        <f t="shared" si="20"/>
        <v>2610</v>
      </c>
      <c r="W571" s="33" t="e">
        <f t="shared" si="20"/>
        <v>#DIV/0!</v>
      </c>
    </row>
    <row r="572" spans="19:23">
      <c r="S572" s="33">
        <f>H352</f>
        <v>2615</v>
      </c>
      <c r="T572" s="33" t="e">
        <f t="shared" si="21"/>
        <v>#DIV/0!</v>
      </c>
      <c r="V572" s="33">
        <f t="shared" si="20"/>
        <v>2615</v>
      </c>
      <c r="W572" s="33" t="e">
        <f t="shared" si="20"/>
        <v>#DIV/0!</v>
      </c>
    </row>
    <row r="573" spans="19:23">
      <c r="S573" s="33">
        <f>H353</f>
        <v>2620</v>
      </c>
      <c r="T573" s="33" t="e">
        <f t="shared" si="21"/>
        <v>#DIV/0!</v>
      </c>
      <c r="V573" s="33">
        <f t="shared" si="20"/>
        <v>2620</v>
      </c>
      <c r="W573" s="33" t="e">
        <f t="shared" si="20"/>
        <v>#DIV/0!</v>
      </c>
    </row>
    <row r="574" spans="19:23">
      <c r="S574" s="33">
        <f>H354</f>
        <v>2625</v>
      </c>
      <c r="T574" s="33" t="e">
        <f t="shared" si="21"/>
        <v>#DIV/0!</v>
      </c>
      <c r="V574" s="33">
        <f t="shared" si="20"/>
        <v>2625</v>
      </c>
      <c r="W574" s="33" t="e">
        <f t="shared" si="20"/>
        <v>#DIV/0!</v>
      </c>
    </row>
    <row r="575" spans="19:23">
      <c r="S575" s="33">
        <f>H355</f>
        <v>2630</v>
      </c>
      <c r="T575" s="33" t="e">
        <f t="shared" si="21"/>
        <v>#DIV/0!</v>
      </c>
      <c r="V575" s="33">
        <f t="shared" si="20"/>
        <v>2630</v>
      </c>
      <c r="W575" s="33" t="e">
        <f t="shared" si="20"/>
        <v>#DIV/0!</v>
      </c>
    </row>
    <row r="576" spans="19:23">
      <c r="S576" s="33">
        <f>H356</f>
        <v>2635</v>
      </c>
      <c r="T576" s="33" t="e">
        <f t="shared" si="21"/>
        <v>#DIV/0!</v>
      </c>
      <c r="V576" s="33">
        <f t="shared" si="20"/>
        <v>2635</v>
      </c>
      <c r="W576" s="33" t="e">
        <f t="shared" si="20"/>
        <v>#DIV/0!</v>
      </c>
    </row>
    <row r="577" spans="19:23">
      <c r="S577" s="33">
        <f>H357</f>
        <v>2640</v>
      </c>
      <c r="T577" s="33" t="e">
        <f t="shared" si="21"/>
        <v>#DIV/0!</v>
      </c>
      <c r="V577" s="33">
        <f t="shared" si="20"/>
        <v>2640</v>
      </c>
      <c r="W577" s="33" t="e">
        <f t="shared" si="20"/>
        <v>#DIV/0!</v>
      </c>
    </row>
    <row r="578" spans="19:23">
      <c r="S578" s="33">
        <f>H358</f>
        <v>2645</v>
      </c>
      <c r="T578" s="33" t="e">
        <f t="shared" si="21"/>
        <v>#DIV/0!</v>
      </c>
      <c r="V578" s="33">
        <f t="shared" si="20"/>
        <v>2645</v>
      </c>
      <c r="W578" s="33" t="e">
        <f t="shared" si="20"/>
        <v>#DIV/0!</v>
      </c>
    </row>
    <row r="579" spans="19:23">
      <c r="S579" s="33">
        <f>H359</f>
        <v>2650</v>
      </c>
      <c r="T579" s="33" t="e">
        <f t="shared" si="21"/>
        <v>#DIV/0!</v>
      </c>
      <c r="V579" s="33">
        <f t="shared" si="20"/>
        <v>2650</v>
      </c>
      <c r="W579" s="33" t="e">
        <f t="shared" si="20"/>
        <v>#DIV/0!</v>
      </c>
    </row>
    <row r="580" spans="19:23">
      <c r="S580" s="33">
        <f>H360</f>
        <v>2655</v>
      </c>
      <c r="T580" s="33" t="e">
        <f t="shared" si="21"/>
        <v>#DIV/0!</v>
      </c>
      <c r="V580" s="33">
        <f t="shared" si="20"/>
        <v>2655</v>
      </c>
      <c r="W580" s="33" t="e">
        <f t="shared" si="20"/>
        <v>#DIV/0!</v>
      </c>
    </row>
    <row r="581" spans="19:23">
      <c r="S581" s="33">
        <f>H361</f>
        <v>2660</v>
      </c>
      <c r="T581" s="33" t="e">
        <f t="shared" si="21"/>
        <v>#DIV/0!</v>
      </c>
      <c r="V581" s="33">
        <f t="shared" si="20"/>
        <v>2660</v>
      </c>
      <c r="W581" s="33" t="e">
        <f t="shared" si="20"/>
        <v>#DIV/0!</v>
      </c>
    </row>
    <row r="582" spans="19:23">
      <c r="S582" s="33">
        <f>H362</f>
        <v>2665</v>
      </c>
      <c r="T582" s="33" t="e">
        <f t="shared" si="21"/>
        <v>#DIV/0!</v>
      </c>
      <c r="V582" s="33">
        <f t="shared" si="20"/>
        <v>2665</v>
      </c>
      <c r="W582" s="33" t="e">
        <f t="shared" si="20"/>
        <v>#DIV/0!</v>
      </c>
    </row>
    <row r="583" spans="19:23">
      <c r="S583" s="33">
        <f>H363</f>
        <v>2670</v>
      </c>
      <c r="T583" s="33" t="e">
        <f t="shared" si="21"/>
        <v>#DIV/0!</v>
      </c>
      <c r="V583" s="33">
        <f t="shared" si="20"/>
        <v>2670</v>
      </c>
      <c r="W583" s="33" t="e">
        <f t="shared" si="20"/>
        <v>#DIV/0!</v>
      </c>
    </row>
    <row r="584" spans="19:23">
      <c r="S584" s="33">
        <f>H364</f>
        <v>2675</v>
      </c>
      <c r="T584" s="33" t="e">
        <f t="shared" si="21"/>
        <v>#DIV/0!</v>
      </c>
      <c r="V584" s="33">
        <f t="shared" si="20"/>
        <v>2675</v>
      </c>
      <c r="W584" s="33" t="e">
        <f t="shared" si="20"/>
        <v>#DIV/0!</v>
      </c>
    </row>
    <row r="585" spans="19:23">
      <c r="S585" s="33">
        <f>H365</f>
        <v>2680</v>
      </c>
      <c r="T585" s="33" t="e">
        <f t="shared" si="21"/>
        <v>#DIV/0!</v>
      </c>
      <c r="V585" s="33">
        <f t="shared" si="20"/>
        <v>2680</v>
      </c>
      <c r="W585" s="33" t="e">
        <f t="shared" si="20"/>
        <v>#DIV/0!</v>
      </c>
    </row>
    <row r="586" spans="19:23">
      <c r="S586" s="33">
        <f>H366</f>
        <v>2685</v>
      </c>
      <c r="T586" s="33" t="e">
        <f t="shared" si="21"/>
        <v>#DIV/0!</v>
      </c>
      <c r="V586" s="33">
        <f t="shared" si="20"/>
        <v>2685</v>
      </c>
      <c r="W586" s="33" t="e">
        <f t="shared" si="20"/>
        <v>#DIV/0!</v>
      </c>
    </row>
    <row r="587" spans="19:23">
      <c r="S587" s="33">
        <f>H367</f>
        <v>2690</v>
      </c>
      <c r="T587" s="33" t="e">
        <f t="shared" si="21"/>
        <v>#DIV/0!</v>
      </c>
      <c r="V587" s="33">
        <f t="shared" si="20"/>
        <v>2690</v>
      </c>
      <c r="W587" s="33" t="e">
        <f t="shared" si="20"/>
        <v>#DIV/0!</v>
      </c>
    </row>
    <row r="588" spans="19:23">
      <c r="S588" s="33">
        <f>H368</f>
        <v>2695</v>
      </c>
      <c r="T588" s="33" t="e">
        <f t="shared" si="21"/>
        <v>#DIV/0!</v>
      </c>
      <c r="V588" s="33">
        <f t="shared" si="20"/>
        <v>2695</v>
      </c>
      <c r="W588" s="33" t="e">
        <f t="shared" si="20"/>
        <v>#DIV/0!</v>
      </c>
    </row>
    <row r="589" spans="19:23">
      <c r="S589" s="33">
        <f>H369</f>
        <v>2700</v>
      </c>
      <c r="T589" s="33" t="e">
        <f t="shared" si="21"/>
        <v>#DIV/0!</v>
      </c>
      <c r="V589" s="33">
        <f t="shared" si="20"/>
        <v>2700</v>
      </c>
      <c r="W589" s="33" t="e">
        <f t="shared" si="20"/>
        <v>#DIV/0!</v>
      </c>
    </row>
    <row r="590" spans="19:23">
      <c r="S590" s="33">
        <f>H370</f>
        <v>2705</v>
      </c>
      <c r="T590" s="33" t="e">
        <f t="shared" si="21"/>
        <v>#DIV/0!</v>
      </c>
      <c r="V590" s="33">
        <f t="shared" ref="V590:W649" si="22">S590</f>
        <v>2705</v>
      </c>
      <c r="W590" s="33" t="e">
        <f t="shared" si="22"/>
        <v>#DIV/0!</v>
      </c>
    </row>
    <row r="591" spans="19:23">
      <c r="S591" s="33">
        <f>H371</f>
        <v>2710</v>
      </c>
      <c r="T591" s="33" t="e">
        <f t="shared" ref="T591:T649" si="23">IF(I370=0,0,I370/$Q$51)</f>
        <v>#DIV/0!</v>
      </c>
      <c r="V591" s="33">
        <f t="shared" si="22"/>
        <v>2710</v>
      </c>
      <c r="W591" s="33" t="e">
        <f t="shared" si="22"/>
        <v>#DIV/0!</v>
      </c>
    </row>
    <row r="592" spans="19:23">
      <c r="S592" s="33">
        <f>H372</f>
        <v>2715</v>
      </c>
      <c r="T592" s="33" t="e">
        <f t="shared" si="23"/>
        <v>#DIV/0!</v>
      </c>
      <c r="V592" s="33">
        <f t="shared" si="22"/>
        <v>2715</v>
      </c>
      <c r="W592" s="33" t="e">
        <f t="shared" si="22"/>
        <v>#DIV/0!</v>
      </c>
    </row>
    <row r="593" spans="19:23">
      <c r="S593" s="33">
        <f>H373</f>
        <v>2720</v>
      </c>
      <c r="T593" s="33" t="e">
        <f t="shared" si="23"/>
        <v>#DIV/0!</v>
      </c>
      <c r="V593" s="33">
        <f t="shared" si="22"/>
        <v>2720</v>
      </c>
      <c r="W593" s="33" t="e">
        <f t="shared" si="22"/>
        <v>#DIV/0!</v>
      </c>
    </row>
    <row r="594" spans="19:23">
      <c r="S594" s="33">
        <f>H374</f>
        <v>2725</v>
      </c>
      <c r="T594" s="33" t="e">
        <f t="shared" si="23"/>
        <v>#DIV/0!</v>
      </c>
      <c r="V594" s="33">
        <f t="shared" si="22"/>
        <v>2725</v>
      </c>
      <c r="W594" s="33" t="e">
        <f t="shared" si="22"/>
        <v>#DIV/0!</v>
      </c>
    </row>
    <row r="595" spans="19:23">
      <c r="S595" s="33">
        <f>H375</f>
        <v>2730</v>
      </c>
      <c r="T595" s="33" t="e">
        <f t="shared" si="23"/>
        <v>#DIV/0!</v>
      </c>
      <c r="V595" s="33">
        <f t="shared" si="22"/>
        <v>2730</v>
      </c>
      <c r="W595" s="33" t="e">
        <f t="shared" si="22"/>
        <v>#DIV/0!</v>
      </c>
    </row>
    <row r="596" spans="19:23">
      <c r="S596" s="33">
        <f>H376</f>
        <v>2735</v>
      </c>
      <c r="T596" s="33" t="e">
        <f t="shared" si="23"/>
        <v>#DIV/0!</v>
      </c>
      <c r="V596" s="33">
        <f t="shared" si="22"/>
        <v>2735</v>
      </c>
      <c r="W596" s="33" t="e">
        <f t="shared" si="22"/>
        <v>#DIV/0!</v>
      </c>
    </row>
    <row r="597" spans="19:23">
      <c r="S597" s="33">
        <f>H377</f>
        <v>2740</v>
      </c>
      <c r="T597" s="33" t="e">
        <f t="shared" si="23"/>
        <v>#DIV/0!</v>
      </c>
      <c r="V597" s="33">
        <f t="shared" si="22"/>
        <v>2740</v>
      </c>
      <c r="W597" s="33" t="e">
        <f t="shared" si="22"/>
        <v>#DIV/0!</v>
      </c>
    </row>
    <row r="598" spans="19:23">
      <c r="S598" s="33">
        <f>H378</f>
        <v>2745</v>
      </c>
      <c r="T598" s="33" t="e">
        <f t="shared" si="23"/>
        <v>#DIV/0!</v>
      </c>
      <c r="V598" s="33">
        <f t="shared" si="22"/>
        <v>2745</v>
      </c>
      <c r="W598" s="33" t="e">
        <f t="shared" si="22"/>
        <v>#DIV/0!</v>
      </c>
    </row>
    <row r="599" spans="19:23">
      <c r="S599" s="33">
        <f>H379</f>
        <v>2750</v>
      </c>
      <c r="T599" s="33" t="e">
        <f t="shared" si="23"/>
        <v>#DIV/0!</v>
      </c>
      <c r="V599" s="33">
        <f t="shared" si="22"/>
        <v>2750</v>
      </c>
      <c r="W599" s="33" t="e">
        <f t="shared" si="22"/>
        <v>#DIV/0!</v>
      </c>
    </row>
    <row r="600" spans="19:23">
      <c r="S600" s="33">
        <f>H380</f>
        <v>2755</v>
      </c>
      <c r="T600" s="33" t="e">
        <f t="shared" si="23"/>
        <v>#DIV/0!</v>
      </c>
      <c r="V600" s="33">
        <f t="shared" si="22"/>
        <v>2755</v>
      </c>
      <c r="W600" s="33" t="e">
        <f t="shared" si="22"/>
        <v>#DIV/0!</v>
      </c>
    </row>
    <row r="601" spans="19:23">
      <c r="S601" s="33">
        <f>H381</f>
        <v>2760</v>
      </c>
      <c r="T601" s="33" t="e">
        <f t="shared" si="23"/>
        <v>#DIV/0!</v>
      </c>
      <c r="V601" s="33">
        <f t="shared" si="22"/>
        <v>2760</v>
      </c>
      <c r="W601" s="33" t="e">
        <f t="shared" si="22"/>
        <v>#DIV/0!</v>
      </c>
    </row>
    <row r="602" spans="19:23">
      <c r="S602" s="33">
        <f>H382</f>
        <v>2765</v>
      </c>
      <c r="T602" s="33" t="e">
        <f t="shared" si="23"/>
        <v>#DIV/0!</v>
      </c>
      <c r="V602" s="33">
        <f t="shared" si="22"/>
        <v>2765</v>
      </c>
      <c r="W602" s="33" t="e">
        <f t="shared" si="22"/>
        <v>#DIV/0!</v>
      </c>
    </row>
    <row r="603" spans="19:23">
      <c r="S603" s="33">
        <f>H383</f>
        <v>2770</v>
      </c>
      <c r="T603" s="33" t="e">
        <f t="shared" si="23"/>
        <v>#DIV/0!</v>
      </c>
      <c r="V603" s="33">
        <f t="shared" si="22"/>
        <v>2770</v>
      </c>
      <c r="W603" s="33" t="e">
        <f t="shared" si="22"/>
        <v>#DIV/0!</v>
      </c>
    </row>
    <row r="604" spans="19:23">
      <c r="S604" s="33">
        <f>H384</f>
        <v>2775</v>
      </c>
      <c r="T604" s="33" t="e">
        <f t="shared" si="23"/>
        <v>#DIV/0!</v>
      </c>
      <c r="V604" s="33">
        <f t="shared" si="22"/>
        <v>2775</v>
      </c>
      <c r="W604" s="33" t="e">
        <f t="shared" si="22"/>
        <v>#DIV/0!</v>
      </c>
    </row>
    <row r="605" spans="19:23">
      <c r="S605" s="33">
        <f>H385</f>
        <v>2780</v>
      </c>
      <c r="T605" s="33" t="e">
        <f t="shared" si="23"/>
        <v>#DIV/0!</v>
      </c>
      <c r="V605" s="33">
        <f t="shared" si="22"/>
        <v>2780</v>
      </c>
      <c r="W605" s="33" t="e">
        <f t="shared" si="22"/>
        <v>#DIV/0!</v>
      </c>
    </row>
    <row r="606" spans="19:23">
      <c r="S606" s="33">
        <f>H386</f>
        <v>2785</v>
      </c>
      <c r="T606" s="33" t="e">
        <f t="shared" si="23"/>
        <v>#DIV/0!</v>
      </c>
      <c r="V606" s="33">
        <f t="shared" si="22"/>
        <v>2785</v>
      </c>
      <c r="W606" s="33" t="e">
        <f t="shared" si="22"/>
        <v>#DIV/0!</v>
      </c>
    </row>
    <row r="607" spans="19:23">
      <c r="S607" s="33">
        <f>H387</f>
        <v>2790</v>
      </c>
      <c r="T607" s="33" t="e">
        <f t="shared" si="23"/>
        <v>#DIV/0!</v>
      </c>
      <c r="V607" s="33">
        <f t="shared" si="22"/>
        <v>2790</v>
      </c>
      <c r="W607" s="33" t="e">
        <f t="shared" si="22"/>
        <v>#DIV/0!</v>
      </c>
    </row>
    <row r="608" spans="19:23">
      <c r="S608" s="33">
        <f>H388</f>
        <v>2795</v>
      </c>
      <c r="T608" s="33" t="e">
        <f t="shared" si="23"/>
        <v>#DIV/0!</v>
      </c>
      <c r="V608" s="33">
        <f t="shared" si="22"/>
        <v>2795</v>
      </c>
      <c r="W608" s="33" t="e">
        <f t="shared" si="22"/>
        <v>#DIV/0!</v>
      </c>
    </row>
    <row r="609" spans="19:23">
      <c r="S609" s="33">
        <f>H389</f>
        <v>2800</v>
      </c>
      <c r="T609" s="33" t="e">
        <f t="shared" si="23"/>
        <v>#DIV/0!</v>
      </c>
      <c r="V609" s="33">
        <f t="shared" si="22"/>
        <v>2800</v>
      </c>
      <c r="W609" s="33" t="e">
        <f t="shared" si="22"/>
        <v>#DIV/0!</v>
      </c>
    </row>
    <row r="610" spans="19:23">
      <c r="S610" s="33">
        <f>H390</f>
        <v>2805</v>
      </c>
      <c r="T610" s="33" t="e">
        <f t="shared" si="23"/>
        <v>#DIV/0!</v>
      </c>
      <c r="V610" s="33">
        <f t="shared" si="22"/>
        <v>2805</v>
      </c>
      <c r="W610" s="33" t="e">
        <f t="shared" si="22"/>
        <v>#DIV/0!</v>
      </c>
    </row>
    <row r="611" spans="19:23">
      <c r="S611" s="33">
        <f>H391</f>
        <v>2810</v>
      </c>
      <c r="T611" s="33" t="e">
        <f t="shared" si="23"/>
        <v>#DIV/0!</v>
      </c>
      <c r="V611" s="33">
        <f t="shared" si="22"/>
        <v>2810</v>
      </c>
      <c r="W611" s="33" t="e">
        <f t="shared" si="22"/>
        <v>#DIV/0!</v>
      </c>
    </row>
    <row r="612" spans="19:23">
      <c r="S612" s="33">
        <f>H392</f>
        <v>2815</v>
      </c>
      <c r="T612" s="33" t="e">
        <f t="shared" si="23"/>
        <v>#DIV/0!</v>
      </c>
      <c r="V612" s="33">
        <f t="shared" si="22"/>
        <v>2815</v>
      </c>
      <c r="W612" s="33" t="e">
        <f t="shared" si="22"/>
        <v>#DIV/0!</v>
      </c>
    </row>
    <row r="613" spans="19:23">
      <c r="S613" s="33">
        <f>H393</f>
        <v>2820</v>
      </c>
      <c r="T613" s="33" t="e">
        <f t="shared" si="23"/>
        <v>#DIV/0!</v>
      </c>
      <c r="V613" s="33">
        <f t="shared" si="22"/>
        <v>2820</v>
      </c>
      <c r="W613" s="33" t="e">
        <f t="shared" si="22"/>
        <v>#DIV/0!</v>
      </c>
    </row>
    <row r="614" spans="19:23">
      <c r="S614" s="33">
        <f>H394</f>
        <v>2825</v>
      </c>
      <c r="T614" s="33" t="e">
        <f t="shared" si="23"/>
        <v>#DIV/0!</v>
      </c>
      <c r="V614" s="33">
        <f t="shared" si="22"/>
        <v>2825</v>
      </c>
      <c r="W614" s="33" t="e">
        <f t="shared" si="22"/>
        <v>#DIV/0!</v>
      </c>
    </row>
    <row r="615" spans="19:23">
      <c r="S615" s="33">
        <f>H395</f>
        <v>2830</v>
      </c>
      <c r="T615" s="33" t="e">
        <f t="shared" si="23"/>
        <v>#DIV/0!</v>
      </c>
      <c r="V615" s="33">
        <f t="shared" si="22"/>
        <v>2830</v>
      </c>
      <c r="W615" s="33" t="e">
        <f t="shared" si="22"/>
        <v>#DIV/0!</v>
      </c>
    </row>
    <row r="616" spans="19:23">
      <c r="S616" s="33">
        <f>H396</f>
        <v>2835</v>
      </c>
      <c r="T616" s="33" t="e">
        <f t="shared" si="23"/>
        <v>#DIV/0!</v>
      </c>
      <c r="V616" s="33">
        <f t="shared" si="22"/>
        <v>2835</v>
      </c>
      <c r="W616" s="33" t="e">
        <f t="shared" si="22"/>
        <v>#DIV/0!</v>
      </c>
    </row>
    <row r="617" spans="19:23">
      <c r="S617" s="33">
        <f>H397</f>
        <v>2840</v>
      </c>
      <c r="T617" s="33" t="e">
        <f t="shared" si="23"/>
        <v>#DIV/0!</v>
      </c>
      <c r="V617" s="33">
        <f t="shared" si="22"/>
        <v>2840</v>
      </c>
      <c r="W617" s="33" t="e">
        <f t="shared" si="22"/>
        <v>#DIV/0!</v>
      </c>
    </row>
    <row r="618" spans="19:23">
      <c r="S618" s="33">
        <f>H398</f>
        <v>2845</v>
      </c>
      <c r="T618" s="33" t="e">
        <f t="shared" si="23"/>
        <v>#DIV/0!</v>
      </c>
      <c r="V618" s="33">
        <f t="shared" si="22"/>
        <v>2845</v>
      </c>
      <c r="W618" s="33" t="e">
        <f t="shared" si="22"/>
        <v>#DIV/0!</v>
      </c>
    </row>
    <row r="619" spans="19:23">
      <c r="S619" s="33">
        <f>H399</f>
        <v>2850</v>
      </c>
      <c r="T619" s="33" t="e">
        <f t="shared" si="23"/>
        <v>#DIV/0!</v>
      </c>
      <c r="V619" s="33">
        <f t="shared" si="22"/>
        <v>2850</v>
      </c>
      <c r="W619" s="33" t="e">
        <f t="shared" si="22"/>
        <v>#DIV/0!</v>
      </c>
    </row>
    <row r="620" spans="19:23">
      <c r="S620" s="33">
        <f>H400</f>
        <v>2855</v>
      </c>
      <c r="T620" s="33" t="e">
        <f t="shared" si="23"/>
        <v>#DIV/0!</v>
      </c>
      <c r="V620" s="33">
        <f t="shared" si="22"/>
        <v>2855</v>
      </c>
      <c r="W620" s="33" t="e">
        <f t="shared" si="22"/>
        <v>#DIV/0!</v>
      </c>
    </row>
    <row r="621" spans="19:23">
      <c r="S621" s="33">
        <f>H401</f>
        <v>2860</v>
      </c>
      <c r="T621" s="33" t="e">
        <f t="shared" si="23"/>
        <v>#DIV/0!</v>
      </c>
      <c r="V621" s="33">
        <f t="shared" si="22"/>
        <v>2860</v>
      </c>
      <c r="W621" s="33" t="e">
        <f t="shared" si="22"/>
        <v>#DIV/0!</v>
      </c>
    </row>
    <row r="622" spans="19:23">
      <c r="S622" s="33">
        <f>H402</f>
        <v>2865</v>
      </c>
      <c r="T622" s="33" t="e">
        <f t="shared" si="23"/>
        <v>#DIV/0!</v>
      </c>
      <c r="V622" s="33">
        <f t="shared" si="22"/>
        <v>2865</v>
      </c>
      <c r="W622" s="33" t="e">
        <f t="shared" si="22"/>
        <v>#DIV/0!</v>
      </c>
    </row>
    <row r="623" spans="19:23">
      <c r="S623" s="33">
        <f>H403</f>
        <v>2870</v>
      </c>
      <c r="T623" s="33" t="e">
        <f t="shared" si="23"/>
        <v>#DIV/0!</v>
      </c>
      <c r="V623" s="33">
        <f t="shared" si="22"/>
        <v>2870</v>
      </c>
      <c r="W623" s="33" t="e">
        <f t="shared" si="22"/>
        <v>#DIV/0!</v>
      </c>
    </row>
    <row r="624" spans="19:23">
      <c r="S624" s="33">
        <f>H404</f>
        <v>2875</v>
      </c>
      <c r="T624" s="33" t="e">
        <f t="shared" si="23"/>
        <v>#DIV/0!</v>
      </c>
      <c r="V624" s="33">
        <f t="shared" si="22"/>
        <v>2875</v>
      </c>
      <c r="W624" s="33" t="e">
        <f t="shared" si="22"/>
        <v>#DIV/0!</v>
      </c>
    </row>
    <row r="625" spans="19:23">
      <c r="S625" s="33">
        <f>H405</f>
        <v>2880</v>
      </c>
      <c r="T625" s="33" t="e">
        <f t="shared" si="23"/>
        <v>#DIV/0!</v>
      </c>
      <c r="V625" s="33">
        <f t="shared" si="22"/>
        <v>2880</v>
      </c>
      <c r="W625" s="33" t="e">
        <f t="shared" si="22"/>
        <v>#DIV/0!</v>
      </c>
    </row>
    <row r="626" spans="19:23">
      <c r="S626" s="33">
        <f>H406</f>
        <v>2885</v>
      </c>
      <c r="T626" s="33" t="e">
        <f t="shared" si="23"/>
        <v>#DIV/0!</v>
      </c>
      <c r="V626" s="33">
        <f t="shared" si="22"/>
        <v>2885</v>
      </c>
      <c r="W626" s="33" t="e">
        <f t="shared" si="22"/>
        <v>#DIV/0!</v>
      </c>
    </row>
    <row r="627" spans="19:23">
      <c r="S627" s="33">
        <f>H407</f>
        <v>2890</v>
      </c>
      <c r="T627" s="33" t="e">
        <f t="shared" si="23"/>
        <v>#DIV/0!</v>
      </c>
      <c r="V627" s="33">
        <f t="shared" si="22"/>
        <v>2890</v>
      </c>
      <c r="W627" s="33" t="e">
        <f t="shared" si="22"/>
        <v>#DIV/0!</v>
      </c>
    </row>
    <row r="628" spans="19:23">
      <c r="S628" s="33">
        <f>H408</f>
        <v>2895</v>
      </c>
      <c r="T628" s="33" t="e">
        <f t="shared" si="23"/>
        <v>#DIV/0!</v>
      </c>
      <c r="V628" s="33">
        <f t="shared" si="22"/>
        <v>2895</v>
      </c>
      <c r="W628" s="33" t="e">
        <f t="shared" si="22"/>
        <v>#DIV/0!</v>
      </c>
    </row>
    <row r="629" spans="19:23">
      <c r="S629" s="33">
        <f>H409</f>
        <v>2900</v>
      </c>
      <c r="T629" s="33" t="e">
        <f t="shared" si="23"/>
        <v>#DIV/0!</v>
      </c>
      <c r="V629" s="33">
        <f t="shared" si="22"/>
        <v>2900</v>
      </c>
      <c r="W629" s="33" t="e">
        <f t="shared" si="22"/>
        <v>#DIV/0!</v>
      </c>
    </row>
    <row r="630" spans="19:23">
      <c r="S630" s="33">
        <f>H410</f>
        <v>2905</v>
      </c>
      <c r="T630" s="33" t="e">
        <f t="shared" si="23"/>
        <v>#DIV/0!</v>
      </c>
      <c r="V630" s="33">
        <f t="shared" si="22"/>
        <v>2905</v>
      </c>
      <c r="W630" s="33" t="e">
        <f t="shared" si="22"/>
        <v>#DIV/0!</v>
      </c>
    </row>
    <row r="631" spans="19:23">
      <c r="S631" s="33">
        <f>H411</f>
        <v>2910</v>
      </c>
      <c r="T631" s="33" t="e">
        <f t="shared" si="23"/>
        <v>#DIV/0!</v>
      </c>
      <c r="V631" s="33">
        <f t="shared" si="22"/>
        <v>2910</v>
      </c>
      <c r="W631" s="33" t="e">
        <f t="shared" si="22"/>
        <v>#DIV/0!</v>
      </c>
    </row>
    <row r="632" spans="19:23">
      <c r="S632" s="33">
        <f>H412</f>
        <v>2915</v>
      </c>
      <c r="T632" s="33" t="e">
        <f t="shared" si="23"/>
        <v>#DIV/0!</v>
      </c>
      <c r="V632" s="33">
        <f t="shared" si="22"/>
        <v>2915</v>
      </c>
      <c r="W632" s="33" t="e">
        <f t="shared" si="22"/>
        <v>#DIV/0!</v>
      </c>
    </row>
    <row r="633" spans="19:23">
      <c r="S633" s="33">
        <f>H413</f>
        <v>2920</v>
      </c>
      <c r="T633" s="33" t="e">
        <f t="shared" si="23"/>
        <v>#DIV/0!</v>
      </c>
      <c r="V633" s="33">
        <f t="shared" si="22"/>
        <v>2920</v>
      </c>
      <c r="W633" s="33" t="e">
        <f t="shared" si="22"/>
        <v>#DIV/0!</v>
      </c>
    </row>
    <row r="634" spans="19:23">
      <c r="S634" s="33">
        <f>H414</f>
        <v>2925</v>
      </c>
      <c r="T634" s="33" t="e">
        <f t="shared" si="23"/>
        <v>#DIV/0!</v>
      </c>
      <c r="V634" s="33">
        <f t="shared" si="22"/>
        <v>2925</v>
      </c>
      <c r="W634" s="33" t="e">
        <f t="shared" si="22"/>
        <v>#DIV/0!</v>
      </c>
    </row>
    <row r="635" spans="19:23">
      <c r="S635" s="33">
        <f>H415</f>
        <v>2930</v>
      </c>
      <c r="T635" s="33" t="e">
        <f t="shared" si="23"/>
        <v>#DIV/0!</v>
      </c>
      <c r="V635" s="33">
        <f t="shared" si="22"/>
        <v>2930</v>
      </c>
      <c r="W635" s="33" t="e">
        <f t="shared" si="22"/>
        <v>#DIV/0!</v>
      </c>
    </row>
    <row r="636" spans="19:23">
      <c r="S636" s="33">
        <f>H416</f>
        <v>2935</v>
      </c>
      <c r="T636" s="33" t="e">
        <f t="shared" si="23"/>
        <v>#DIV/0!</v>
      </c>
      <c r="V636" s="33">
        <f t="shared" si="22"/>
        <v>2935</v>
      </c>
      <c r="W636" s="33" t="e">
        <f t="shared" si="22"/>
        <v>#DIV/0!</v>
      </c>
    </row>
    <row r="637" spans="19:23">
      <c r="S637" s="33">
        <f>H417</f>
        <v>2940</v>
      </c>
      <c r="T637" s="33" t="e">
        <f t="shared" si="23"/>
        <v>#DIV/0!</v>
      </c>
      <c r="V637" s="33">
        <f t="shared" si="22"/>
        <v>2940</v>
      </c>
      <c r="W637" s="33" t="e">
        <f t="shared" si="22"/>
        <v>#DIV/0!</v>
      </c>
    </row>
    <row r="638" spans="19:23">
      <c r="S638" s="33">
        <f>H418</f>
        <v>2945</v>
      </c>
      <c r="T638" s="33" t="e">
        <f t="shared" si="23"/>
        <v>#DIV/0!</v>
      </c>
      <c r="V638" s="33">
        <f t="shared" si="22"/>
        <v>2945</v>
      </c>
      <c r="W638" s="33" t="e">
        <f t="shared" si="22"/>
        <v>#DIV/0!</v>
      </c>
    </row>
    <row r="639" spans="19:23">
      <c r="S639" s="33">
        <f>H419</f>
        <v>2950</v>
      </c>
      <c r="T639" s="33" t="e">
        <f t="shared" si="23"/>
        <v>#DIV/0!</v>
      </c>
      <c r="V639" s="33">
        <f t="shared" si="22"/>
        <v>2950</v>
      </c>
      <c r="W639" s="33" t="e">
        <f t="shared" si="22"/>
        <v>#DIV/0!</v>
      </c>
    </row>
    <row r="640" spans="19:23">
      <c r="S640" s="33">
        <f>H420</f>
        <v>2955</v>
      </c>
      <c r="T640" s="33" t="e">
        <f t="shared" si="23"/>
        <v>#DIV/0!</v>
      </c>
      <c r="V640" s="33">
        <f t="shared" si="22"/>
        <v>2955</v>
      </c>
      <c r="W640" s="33" t="e">
        <f t="shared" si="22"/>
        <v>#DIV/0!</v>
      </c>
    </row>
    <row r="641" spans="19:23">
      <c r="S641" s="33">
        <f>H421</f>
        <v>2960</v>
      </c>
      <c r="T641" s="33" t="e">
        <f t="shared" si="23"/>
        <v>#DIV/0!</v>
      </c>
      <c r="V641" s="33">
        <f t="shared" si="22"/>
        <v>2960</v>
      </c>
      <c r="W641" s="33" t="e">
        <f t="shared" si="22"/>
        <v>#DIV/0!</v>
      </c>
    </row>
    <row r="642" spans="19:23">
      <c r="S642" s="33">
        <f>H422</f>
        <v>2965</v>
      </c>
      <c r="T642" s="33" t="e">
        <f t="shared" si="23"/>
        <v>#DIV/0!</v>
      </c>
      <c r="V642" s="33">
        <f t="shared" si="22"/>
        <v>2965</v>
      </c>
      <c r="W642" s="33" t="e">
        <f t="shared" si="22"/>
        <v>#DIV/0!</v>
      </c>
    </row>
    <row r="643" spans="19:23">
      <c r="S643" s="33">
        <f>H423</f>
        <v>2970</v>
      </c>
      <c r="T643" s="33" t="e">
        <f t="shared" si="23"/>
        <v>#DIV/0!</v>
      </c>
      <c r="V643" s="33">
        <f t="shared" si="22"/>
        <v>2970</v>
      </c>
      <c r="W643" s="33" t="e">
        <f t="shared" si="22"/>
        <v>#DIV/0!</v>
      </c>
    </row>
    <row r="644" spans="19:23">
      <c r="S644" s="33">
        <f>H424</f>
        <v>2975</v>
      </c>
      <c r="T644" s="33" t="e">
        <f t="shared" si="23"/>
        <v>#DIV/0!</v>
      </c>
      <c r="V644" s="33">
        <f t="shared" si="22"/>
        <v>2975</v>
      </c>
      <c r="W644" s="33" t="e">
        <f t="shared" si="22"/>
        <v>#DIV/0!</v>
      </c>
    </row>
    <row r="645" spans="19:23">
      <c r="S645" s="33">
        <f>H425</f>
        <v>2980</v>
      </c>
      <c r="T645" s="33" t="e">
        <f t="shared" si="23"/>
        <v>#DIV/0!</v>
      </c>
      <c r="V645" s="33">
        <f t="shared" si="22"/>
        <v>2980</v>
      </c>
      <c r="W645" s="33" t="e">
        <f t="shared" si="22"/>
        <v>#DIV/0!</v>
      </c>
    </row>
    <row r="646" spans="19:23">
      <c r="S646" s="33">
        <f>H426</f>
        <v>2985</v>
      </c>
      <c r="T646" s="33" t="e">
        <f t="shared" si="23"/>
        <v>#DIV/0!</v>
      </c>
      <c r="V646" s="33">
        <f t="shared" si="22"/>
        <v>2985</v>
      </c>
      <c r="W646" s="33" t="e">
        <f t="shared" si="22"/>
        <v>#DIV/0!</v>
      </c>
    </row>
    <row r="647" spans="19:23">
      <c r="S647" s="33">
        <f>H427</f>
        <v>2990</v>
      </c>
      <c r="T647" s="33" t="e">
        <f t="shared" si="23"/>
        <v>#DIV/0!</v>
      </c>
      <c r="V647" s="33">
        <f t="shared" si="22"/>
        <v>2990</v>
      </c>
      <c r="W647" s="33" t="e">
        <f t="shared" si="22"/>
        <v>#DIV/0!</v>
      </c>
    </row>
    <row r="648" spans="19:23">
      <c r="S648" s="33">
        <f>H428</f>
        <v>2995</v>
      </c>
      <c r="T648" s="33" t="e">
        <f t="shared" si="23"/>
        <v>#DIV/0!</v>
      </c>
      <c r="V648" s="33">
        <f t="shared" si="22"/>
        <v>2995</v>
      </c>
      <c r="W648" s="33" t="e">
        <f t="shared" si="22"/>
        <v>#DIV/0!</v>
      </c>
    </row>
    <row r="649" spans="19:23">
      <c r="S649" s="33">
        <f>H429</f>
        <v>3000</v>
      </c>
      <c r="T649" s="33" t="e">
        <f t="shared" si="23"/>
        <v>#DIV/0!</v>
      </c>
      <c r="V649" s="33">
        <f t="shared" si="22"/>
        <v>3000</v>
      </c>
      <c r="W649" s="33" t="e">
        <f t="shared" si="22"/>
        <v>#DIV/0!</v>
      </c>
    </row>
  </sheetData>
  <mergeCells count="2">
    <mergeCell ref="H4:I4"/>
    <mergeCell ref="H14:I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0"/>
  <sheetViews>
    <sheetView zoomScale="85" zoomScaleNormal="85" workbookViewId="0">
      <selection activeCell="D21" sqref="D21:D22"/>
    </sheetView>
  </sheetViews>
  <sheetFormatPr defaultRowHeight="15"/>
  <cols>
    <col min="1" max="1" width="10.140625" style="31" bestFit="1" customWidth="1"/>
    <col min="2" max="2" width="21.28515625" style="31" bestFit="1" customWidth="1"/>
    <col min="3" max="3" width="23.85546875" style="31" customWidth="1"/>
    <col min="4" max="4" width="35.140625" style="31" bestFit="1" customWidth="1"/>
    <col min="5" max="5" width="11.85546875" style="31" bestFit="1" customWidth="1"/>
    <col min="6" max="6" width="20.42578125" style="31" customWidth="1"/>
    <col min="7" max="7" width="19.42578125" style="31" bestFit="1" customWidth="1"/>
    <col min="8" max="8" width="12" style="31" bestFit="1" customWidth="1"/>
    <col min="9" max="9" width="19.42578125" style="31" bestFit="1" customWidth="1"/>
    <col min="10" max="10" width="33.140625" style="31" customWidth="1"/>
    <col min="11" max="11" width="13.85546875" style="31" bestFit="1" customWidth="1"/>
    <col min="12" max="12" width="23.7109375" style="31" bestFit="1" customWidth="1"/>
    <col min="13" max="13" width="9.140625" style="31"/>
    <col min="14" max="14" width="14" style="31" customWidth="1"/>
    <col min="15" max="15" width="19" style="31" bestFit="1" customWidth="1"/>
    <col min="16" max="16" width="13.85546875" style="31" bestFit="1" customWidth="1"/>
    <col min="17" max="17" width="11.85546875" style="31" bestFit="1" customWidth="1"/>
    <col min="18" max="18" width="19.140625" style="31" bestFit="1" customWidth="1"/>
    <col min="19" max="19" width="9.140625" style="31"/>
    <col min="20" max="21" width="12.28515625" style="31" bestFit="1" customWidth="1"/>
    <col min="22" max="22" width="12" style="31" bestFit="1" customWidth="1"/>
    <col min="23" max="23" width="15.28515625" style="31" bestFit="1" customWidth="1"/>
    <col min="24" max="24" width="9.140625" style="31"/>
    <col min="25" max="25" width="12" style="31" bestFit="1" customWidth="1"/>
    <col min="26" max="26" width="15.28515625" style="31" bestFit="1" customWidth="1"/>
    <col min="27" max="27" width="16.28515625" style="31" bestFit="1" customWidth="1"/>
    <col min="28" max="28" width="19.42578125" style="31" bestFit="1" customWidth="1"/>
    <col min="29" max="29" width="17.28515625" style="31" bestFit="1" customWidth="1"/>
    <col min="30" max="30" width="12.28515625" style="31" bestFit="1" customWidth="1"/>
    <col min="31" max="31" width="18.42578125" style="31" bestFit="1" customWidth="1"/>
    <col min="32" max="32" width="12.28515625" style="31" bestFit="1" customWidth="1"/>
    <col min="33" max="33" width="9.140625" style="31"/>
    <col min="34" max="34" width="12" style="31" customWidth="1"/>
    <col min="35" max="35" width="19.140625" style="31" bestFit="1" customWidth="1"/>
    <col min="36" max="36" width="16.42578125" style="31" bestFit="1" customWidth="1"/>
    <col min="37" max="37" width="19.5703125" style="31" bestFit="1" customWidth="1"/>
    <col min="38" max="38" width="17.28515625" style="31" bestFit="1" customWidth="1"/>
    <col min="39" max="39" width="12.28515625" style="32" bestFit="1" customWidth="1"/>
    <col min="40" max="40" width="18.42578125" style="32" bestFit="1" customWidth="1"/>
    <col min="41" max="41" width="12.28515625" style="32" bestFit="1" customWidth="1"/>
    <col min="42" max="16384" width="9.140625" style="31"/>
  </cols>
  <sheetData>
    <row r="1" spans="2:37" ht="15.75" thickBot="1">
      <c r="T1" s="5"/>
      <c r="U1" s="5"/>
      <c r="V1" s="5"/>
      <c r="W1" s="5"/>
      <c r="X1" s="5"/>
      <c r="Y1" s="5"/>
    </row>
    <row r="2" spans="2:37" ht="15.75">
      <c r="B2" s="21" t="s">
        <v>109</v>
      </c>
      <c r="J2" s="40" t="s">
        <v>44</v>
      </c>
      <c r="K2" s="41"/>
      <c r="L2" s="41"/>
      <c r="M2" s="41"/>
      <c r="N2" s="7"/>
      <c r="O2" s="42" t="s">
        <v>98</v>
      </c>
      <c r="P2" s="7"/>
      <c r="Q2" s="7"/>
      <c r="R2" s="42" t="s">
        <v>108</v>
      </c>
      <c r="S2" s="7"/>
      <c r="T2" s="8"/>
      <c r="U2" s="5"/>
      <c r="V2" s="5"/>
      <c r="W2" s="5"/>
      <c r="X2" s="5"/>
      <c r="Y2" s="5"/>
    </row>
    <row r="3" spans="2:37">
      <c r="G3" s="9"/>
      <c r="J3" s="43"/>
      <c r="K3" s="17"/>
      <c r="L3" s="17"/>
      <c r="M3" s="17"/>
      <c r="N3" s="5"/>
      <c r="O3" s="5"/>
      <c r="P3" s="5"/>
      <c r="Q3" s="5"/>
      <c r="R3" s="5"/>
      <c r="S3" s="5"/>
      <c r="T3" s="12"/>
      <c r="U3" s="5"/>
      <c r="V3" s="11"/>
      <c r="W3" s="11"/>
      <c r="X3" s="5"/>
      <c r="Y3" s="5"/>
    </row>
    <row r="4" spans="2:37">
      <c r="C4" s="13" t="s">
        <v>110</v>
      </c>
      <c r="G4" s="39" t="s">
        <v>111</v>
      </c>
      <c r="J4" s="43" t="s">
        <v>46</v>
      </c>
      <c r="K4" s="44" t="s">
        <v>47</v>
      </c>
      <c r="L4" s="44"/>
      <c r="M4" s="17" t="s">
        <v>102</v>
      </c>
      <c r="N4" s="5"/>
      <c r="O4" s="5"/>
      <c r="P4" s="45"/>
      <c r="Q4" s="5"/>
      <c r="R4" s="5"/>
      <c r="S4" s="5"/>
      <c r="T4" s="12"/>
      <c r="W4" s="5"/>
      <c r="X4" s="5"/>
      <c r="Y4" s="5"/>
    </row>
    <row r="5" spans="2:37">
      <c r="C5" s="31" t="s">
        <v>56</v>
      </c>
      <c r="G5" s="39">
        <v>10</v>
      </c>
      <c r="H5" s="31" t="s">
        <v>53</v>
      </c>
      <c r="J5" s="10" t="s">
        <v>39</v>
      </c>
      <c r="K5" s="45" t="str">
        <f>IF(F15="N/A","N/A",AB25/1000)</f>
        <v>N/A</v>
      </c>
      <c r="L5" s="5" t="s">
        <v>93</v>
      </c>
      <c r="M5" s="5" t="str">
        <f>IF(G4=AK5,"Ethr",IF(K5&lt;1,"RG1", "Ethr"))</f>
        <v>Ethr</v>
      </c>
      <c r="N5" s="5"/>
      <c r="O5" s="46">
        <v>20000</v>
      </c>
      <c r="P5" s="5" t="s">
        <v>93</v>
      </c>
      <c r="Q5" s="5"/>
      <c r="R5" s="47" t="s">
        <v>37</v>
      </c>
      <c r="S5" s="5" t="s">
        <v>93</v>
      </c>
      <c r="T5" s="12"/>
      <c r="W5" s="5"/>
      <c r="X5" s="5"/>
      <c r="Y5" s="5"/>
      <c r="AJ5" s="5" t="s">
        <v>51</v>
      </c>
      <c r="AK5" s="5" t="s">
        <v>111</v>
      </c>
    </row>
    <row r="6" spans="2:37">
      <c r="C6" s="31" t="s">
        <v>57</v>
      </c>
      <c r="G6" s="39">
        <v>10</v>
      </c>
      <c r="H6" s="31" t="s">
        <v>53</v>
      </c>
      <c r="J6" s="10" t="s">
        <v>42</v>
      </c>
      <c r="K6" s="45" t="str">
        <f>IF(F15="N/A","N/A",AE25)</f>
        <v>N/A</v>
      </c>
      <c r="L6" s="5" t="s">
        <v>23</v>
      </c>
      <c r="M6" s="5"/>
      <c r="N6" s="5"/>
      <c r="O6" s="46">
        <v>18544000</v>
      </c>
      <c r="P6" s="5" t="s">
        <v>23</v>
      </c>
      <c r="Q6" s="5"/>
      <c r="R6" s="45" t="s">
        <v>37</v>
      </c>
      <c r="S6" s="5" t="s">
        <v>23</v>
      </c>
      <c r="T6" s="12"/>
      <c r="W6" s="5"/>
      <c r="X6" s="5"/>
      <c r="Y6" s="5"/>
      <c r="AJ6" s="5" t="s">
        <v>51</v>
      </c>
      <c r="AK6" s="5" t="s">
        <v>112</v>
      </c>
    </row>
    <row r="7" spans="2:37">
      <c r="C7" s="31" t="s">
        <v>59</v>
      </c>
      <c r="G7" s="14">
        <f>1000*2*ATAN(G5/2/200)</f>
        <v>49.989587237840318</v>
      </c>
      <c r="H7" s="31" t="s">
        <v>60</v>
      </c>
      <c r="J7" s="10"/>
      <c r="K7" s="5"/>
      <c r="L7" s="5"/>
      <c r="M7" s="5"/>
      <c r="N7" s="5"/>
      <c r="O7" s="45"/>
      <c r="P7" s="5"/>
      <c r="Q7" s="5"/>
      <c r="R7" s="5"/>
      <c r="S7" s="5"/>
      <c r="T7" s="12"/>
      <c r="W7" s="5"/>
      <c r="X7" s="5"/>
      <c r="Y7" s="5"/>
      <c r="AJ7" s="5" t="s">
        <v>58</v>
      </c>
      <c r="AK7" s="5">
        <f>IF(G7&lt;1.7,1.7,IF(G7&gt;100,100,G7))</f>
        <v>49.989587237840318</v>
      </c>
    </row>
    <row r="8" spans="2:37">
      <c r="C8" s="31" t="s">
        <v>62</v>
      </c>
      <c r="G8" s="14">
        <f>1000*2*ATAN(G6/2/200)</f>
        <v>49.989587237840318</v>
      </c>
      <c r="H8" s="31" t="s">
        <v>60</v>
      </c>
      <c r="J8" s="10" t="s">
        <v>115</v>
      </c>
      <c r="K8" s="45" t="str">
        <f>IF(F15="N/A","N/A",K6/K5)</f>
        <v>N/A</v>
      </c>
      <c r="L8" s="5" t="s">
        <v>23</v>
      </c>
      <c r="M8" s="5"/>
      <c r="N8" s="5"/>
      <c r="O8" s="5" t="s">
        <v>37</v>
      </c>
      <c r="P8" s="5" t="s">
        <v>23</v>
      </c>
      <c r="Q8" s="5"/>
      <c r="R8" s="48" t="s">
        <v>37</v>
      </c>
      <c r="S8" s="5" t="s">
        <v>23</v>
      </c>
      <c r="T8" s="12"/>
      <c r="W8" s="5"/>
      <c r="X8" s="5"/>
      <c r="Y8" s="5"/>
      <c r="AJ8" s="5" t="s">
        <v>61</v>
      </c>
      <c r="AK8" s="5">
        <f>IF(G8&lt;1.7,1.7,IF(G8&gt;100,100,G8))</f>
        <v>49.989587237840318</v>
      </c>
    </row>
    <row r="9" spans="2:37">
      <c r="C9" s="31" t="s">
        <v>63</v>
      </c>
      <c r="G9" s="14">
        <f>(AK7+AK8)/2</f>
        <v>49.989587237840318</v>
      </c>
      <c r="H9" s="31" t="s">
        <v>60</v>
      </c>
      <c r="J9" s="10"/>
      <c r="K9" s="45"/>
      <c r="L9" s="5"/>
      <c r="M9" s="5"/>
      <c r="N9" s="5"/>
      <c r="O9" s="5"/>
      <c r="P9" s="5"/>
      <c r="Q9" s="5"/>
      <c r="R9" s="48"/>
      <c r="S9" s="5"/>
      <c r="T9" s="12"/>
      <c r="W9" s="5"/>
      <c r="X9" s="5"/>
      <c r="Y9" s="5"/>
      <c r="AJ9" s="16" t="s">
        <v>66</v>
      </c>
      <c r="AK9" s="31">
        <f>IF(G9&lt;11,11,IF(G9&gt;100,100,G9))</f>
        <v>49.989587237840318</v>
      </c>
    </row>
    <row r="10" spans="2:37">
      <c r="J10" s="10"/>
      <c r="K10" s="5"/>
      <c r="L10" s="5"/>
      <c r="M10" s="5"/>
      <c r="N10" s="5"/>
      <c r="O10" s="5"/>
      <c r="P10" s="5"/>
      <c r="Q10" s="5"/>
      <c r="R10" s="5"/>
      <c r="S10" s="5"/>
      <c r="T10" s="12"/>
      <c r="W10" s="5"/>
      <c r="X10" s="5"/>
      <c r="Y10" s="5"/>
      <c r="AJ10" s="31" t="s">
        <v>65</v>
      </c>
      <c r="AK10" s="9" t="str">
        <f>IF(G9&lt;11,"Yes","No")</f>
        <v>No</v>
      </c>
    </row>
    <row r="11" spans="2:37">
      <c r="J11" s="10"/>
      <c r="K11" s="5"/>
      <c r="L11" s="5"/>
      <c r="M11" s="5"/>
      <c r="N11" s="5"/>
      <c r="O11" s="5"/>
      <c r="P11" s="5"/>
      <c r="Q11" s="5"/>
      <c r="R11" s="5"/>
      <c r="S11" s="5"/>
      <c r="T11" s="12"/>
    </row>
    <row r="12" spans="2:37" ht="15.75">
      <c r="J12" s="49" t="s">
        <v>45</v>
      </c>
      <c r="K12" s="5"/>
      <c r="L12" s="5"/>
      <c r="M12" s="5"/>
      <c r="N12" s="5"/>
      <c r="O12" s="5"/>
      <c r="P12" s="5"/>
      <c r="Q12" s="5"/>
      <c r="R12" s="5"/>
      <c r="S12" s="5"/>
      <c r="T12" s="12"/>
      <c r="U12" s="5"/>
      <c r="V12" s="11"/>
      <c r="W12" s="5"/>
      <c r="X12" s="5"/>
      <c r="Y12" s="5"/>
    </row>
    <row r="13" spans="2:37" ht="15.75">
      <c r="B13" s="21" t="s">
        <v>80</v>
      </c>
      <c r="C13" s="13"/>
      <c r="G13" s="9"/>
      <c r="J13" s="10"/>
      <c r="K13" s="5"/>
      <c r="L13" s="5"/>
      <c r="M13" s="5"/>
      <c r="N13" s="5"/>
      <c r="O13" s="5"/>
      <c r="P13" s="5"/>
      <c r="Q13" s="5"/>
      <c r="R13" s="5"/>
      <c r="S13" s="5"/>
      <c r="T13" s="12"/>
      <c r="U13" s="5"/>
      <c r="V13" s="5"/>
      <c r="W13" s="5"/>
      <c r="X13" s="5"/>
      <c r="Y13" s="5"/>
    </row>
    <row r="14" spans="2:37">
      <c r="C14" s="18" t="s">
        <v>81</v>
      </c>
      <c r="D14" s="18" t="s">
        <v>82</v>
      </c>
      <c r="E14" s="18" t="s">
        <v>83</v>
      </c>
      <c r="F14" s="23" t="s">
        <v>97</v>
      </c>
      <c r="G14" s="9"/>
      <c r="J14" s="43" t="s">
        <v>46</v>
      </c>
      <c r="K14" s="44" t="s">
        <v>47</v>
      </c>
      <c r="L14" s="44"/>
      <c r="M14" s="17" t="s">
        <v>102</v>
      </c>
      <c r="N14" s="5"/>
      <c r="O14" s="45"/>
      <c r="P14" s="5"/>
      <c r="Q14" s="5"/>
      <c r="R14" s="5"/>
      <c r="S14" s="5"/>
      <c r="T14" s="12"/>
      <c r="U14" s="5"/>
      <c r="V14" s="5"/>
      <c r="W14" s="5"/>
      <c r="X14" s="5"/>
      <c r="Y14" s="5"/>
    </row>
    <row r="15" spans="2:37">
      <c r="C15" s="9" t="s">
        <v>2</v>
      </c>
      <c r="D15" s="9" t="s">
        <v>113</v>
      </c>
      <c r="E15" s="9" t="s">
        <v>89</v>
      </c>
      <c r="F15" s="9" t="str">
        <f>IF(G4=AK5,IF(G7&lt;11,"Yes",IF(G8&lt;11,"Yes","N/A")),IF(G4=AK6,IF(G9&lt;11,"Yes","N/A")))</f>
        <v>N/A</v>
      </c>
      <c r="J15" s="10"/>
      <c r="K15" s="45"/>
      <c r="L15" s="5"/>
      <c r="M15" s="5"/>
      <c r="N15" s="5"/>
      <c r="O15" s="45"/>
      <c r="P15" s="5"/>
      <c r="Q15" s="5"/>
      <c r="R15" s="45"/>
      <c r="S15" s="5"/>
      <c r="T15" s="12"/>
      <c r="U15" s="5"/>
      <c r="V15" s="5"/>
      <c r="W15" s="5"/>
      <c r="X15" s="5"/>
      <c r="Y15" s="5"/>
    </row>
    <row r="16" spans="2:37">
      <c r="B16" s="6"/>
      <c r="C16" s="9" t="s">
        <v>4</v>
      </c>
      <c r="D16" s="9" t="s">
        <v>114</v>
      </c>
      <c r="E16" s="9">
        <v>11</v>
      </c>
      <c r="F16" s="9" t="str">
        <f>IF(G4=AK5,IF(G7&gt;11,IF(G8&gt;11,"Yes","N/A"),"N/A"),IF(G4=AK6,IF(G9&gt;11,"Yes",IF(G4=AK6,IF(G9&gt;11,"Yes","N/A")))))</f>
        <v>Yes</v>
      </c>
      <c r="J16" s="10" t="s">
        <v>100</v>
      </c>
      <c r="K16" s="46">
        <f>IF(F16="N/A","N/A",AJ24/1000)</f>
        <v>20000.019656696288</v>
      </c>
      <c r="L16" s="5" t="s">
        <v>94</v>
      </c>
      <c r="M16" s="5" t="str">
        <f>IF(G4=AK5,IF(K16&lt;100,"RG0 unlimited",IF(K16&lt;10000,"RG1 unlimited","Ethr")),IF(K16&lt;100,"RG0",IF(K16&lt;10000,"RG1 ","Ethr")))</f>
        <v>Ethr</v>
      </c>
      <c r="N16" s="5"/>
      <c r="O16" s="46">
        <v>20000</v>
      </c>
      <c r="P16" s="5" t="s">
        <v>94</v>
      </c>
      <c r="Q16" s="5"/>
      <c r="R16" s="45">
        <v>10900</v>
      </c>
      <c r="S16" s="5" t="s">
        <v>94</v>
      </c>
      <c r="T16" s="12"/>
      <c r="U16" s="5"/>
      <c r="V16" s="5"/>
      <c r="W16" s="5"/>
      <c r="X16" s="5"/>
      <c r="Y16" s="5"/>
    </row>
    <row r="17" spans="2:41">
      <c r="C17" s="9"/>
      <c r="E17" s="9"/>
      <c r="J17" s="10" t="s">
        <v>43</v>
      </c>
      <c r="K17" s="46">
        <f>IF(F16="N/A","N/A",AN25)</f>
        <v>18544028.721945751</v>
      </c>
      <c r="L17" s="5" t="s">
        <v>35</v>
      </c>
      <c r="M17" s="5"/>
      <c r="N17" s="5"/>
      <c r="O17" s="46">
        <v>18544000</v>
      </c>
      <c r="P17" s="5" t="s">
        <v>35</v>
      </c>
      <c r="Q17" s="5"/>
      <c r="R17" s="45">
        <v>13000</v>
      </c>
      <c r="S17" s="5" t="s">
        <v>35</v>
      </c>
      <c r="T17" s="12"/>
      <c r="U17" s="11"/>
      <c r="V17" s="15"/>
      <c r="W17" s="5"/>
      <c r="X17" s="5"/>
      <c r="Y17" s="5"/>
    </row>
    <row r="18" spans="2:41">
      <c r="C18" s="9"/>
      <c r="D18" s="9"/>
      <c r="E18" s="9"/>
      <c r="F18" s="9"/>
      <c r="J18" s="10"/>
      <c r="K18" s="45"/>
      <c r="L18" s="5"/>
      <c r="M18" s="5"/>
      <c r="N18" s="5"/>
      <c r="O18" s="45"/>
      <c r="P18" s="5"/>
      <c r="Q18" s="5"/>
      <c r="R18" s="45"/>
      <c r="S18" s="5"/>
      <c r="T18" s="12"/>
    </row>
    <row r="19" spans="2:41">
      <c r="J19" s="10" t="s">
        <v>115</v>
      </c>
      <c r="K19" s="45">
        <f>IF(F16="N/A","N/A",K17/K16)</f>
        <v>927.20052481233188</v>
      </c>
      <c r="L19" s="5" t="s">
        <v>23</v>
      </c>
      <c r="M19" s="5"/>
      <c r="N19" s="5"/>
      <c r="O19" s="5" t="s">
        <v>37</v>
      </c>
      <c r="P19" s="5" t="s">
        <v>23</v>
      </c>
      <c r="Q19" s="5"/>
      <c r="R19" s="45">
        <v>927.19623000000001</v>
      </c>
      <c r="S19" s="5" t="s">
        <v>23</v>
      </c>
      <c r="T19" s="12"/>
      <c r="AH19" s="5"/>
      <c r="AI19" s="5"/>
      <c r="AJ19" s="5"/>
      <c r="AK19" s="5"/>
      <c r="AL19" s="5"/>
    </row>
    <row r="20" spans="2:41">
      <c r="C20" s="9"/>
      <c r="D20" s="9"/>
      <c r="E20" s="9"/>
      <c r="F20" s="9"/>
      <c r="J20" s="10" t="s">
        <v>116</v>
      </c>
      <c r="K20" s="50">
        <v>568</v>
      </c>
      <c r="L20" s="5" t="s">
        <v>117</v>
      </c>
      <c r="M20" s="5"/>
      <c r="N20" s="5"/>
      <c r="O20" s="5" t="s">
        <v>37</v>
      </c>
      <c r="P20" s="5" t="s">
        <v>117</v>
      </c>
      <c r="Q20" s="5"/>
      <c r="R20" s="5">
        <v>568</v>
      </c>
      <c r="S20" s="5" t="s">
        <v>117</v>
      </c>
      <c r="T20" s="12"/>
      <c r="AH20" s="5"/>
      <c r="AI20" s="5"/>
      <c r="AJ20" s="5"/>
      <c r="AK20" s="5"/>
      <c r="AL20" s="5"/>
    </row>
    <row r="21" spans="2:41">
      <c r="C21" s="9"/>
      <c r="D21" s="9"/>
      <c r="E21" s="9"/>
      <c r="F21" s="9"/>
      <c r="J21" s="10" t="s">
        <v>118</v>
      </c>
      <c r="K21" s="45">
        <f>IF(F16="N/A","N/A",SQRT(K20/K19))</f>
        <v>0.78268558163257418</v>
      </c>
      <c r="L21" s="5" t="s">
        <v>119</v>
      </c>
      <c r="M21" s="5"/>
      <c r="N21" s="5"/>
      <c r="O21" s="5" t="s">
        <v>37</v>
      </c>
      <c r="P21" s="5" t="s">
        <v>119</v>
      </c>
      <c r="Q21" s="5"/>
      <c r="R21" s="48">
        <v>0.78</v>
      </c>
      <c r="S21" s="5" t="s">
        <v>119</v>
      </c>
      <c r="T21" s="12"/>
      <c r="AH21" s="5"/>
      <c r="AI21" s="5"/>
      <c r="AJ21" s="5"/>
      <c r="AK21" s="5"/>
      <c r="AL21" s="5"/>
    </row>
    <row r="22" spans="2:41" ht="15.75" thickBot="1">
      <c r="C22" s="9"/>
      <c r="D22" s="9"/>
      <c r="E22" s="9"/>
      <c r="F22" s="9"/>
      <c r="J22" s="51"/>
      <c r="K22" s="52"/>
      <c r="L22" s="52"/>
      <c r="M22" s="52"/>
      <c r="N22" s="52"/>
      <c r="O22" s="52"/>
      <c r="P22" s="52"/>
      <c r="Q22" s="52"/>
      <c r="R22" s="52"/>
      <c r="S22" s="52"/>
      <c r="T22" s="53"/>
      <c r="AH22" s="5"/>
      <c r="AI22" s="5"/>
      <c r="AJ22" s="5"/>
      <c r="AK22" s="5"/>
      <c r="AL22" s="5"/>
    </row>
    <row r="23" spans="2:41">
      <c r="C23" s="9"/>
      <c r="D23" s="9"/>
      <c r="E23" s="9"/>
      <c r="F23" s="9"/>
      <c r="K23" s="30"/>
      <c r="O23" s="30"/>
      <c r="R23" s="30"/>
      <c r="AH23" s="5"/>
      <c r="AI23" s="5"/>
      <c r="AJ23" s="5"/>
      <c r="AK23" s="5"/>
      <c r="AL23" s="5"/>
    </row>
    <row r="24" spans="2:41" ht="15.75" thickBot="1">
      <c r="AA24" s="5"/>
      <c r="AG24" s="5"/>
      <c r="AH24" s="5"/>
      <c r="AI24" s="5"/>
      <c r="AJ24" s="5">
        <f>SUM(AL29:AL138)</f>
        <v>20000019.656696286</v>
      </c>
      <c r="AK24" s="5" t="s">
        <v>36</v>
      </c>
      <c r="AL24" s="5"/>
    </row>
    <row r="25" spans="2:41" ht="15.75" thickBot="1">
      <c r="O25" s="1"/>
      <c r="P25" s="1"/>
      <c r="Q25" s="1"/>
      <c r="T25" s="1"/>
      <c r="Y25" s="1" t="s">
        <v>2</v>
      </c>
      <c r="AA25" s="5"/>
      <c r="AB25" s="4">
        <f>SUM(AC29:AC138)</f>
        <v>0</v>
      </c>
      <c r="AC25" s="3" t="s">
        <v>22</v>
      </c>
      <c r="AE25" s="2">
        <f>683*SUM(AF29:AF155)/1000</f>
        <v>0</v>
      </c>
      <c r="AF25" s="3" t="s">
        <v>23</v>
      </c>
      <c r="AG25" s="5"/>
      <c r="AH25" s="5"/>
      <c r="AI25" s="5"/>
      <c r="AJ25" s="5" t="s">
        <v>71</v>
      </c>
      <c r="AK25" s="5" t="str">
        <f>IF(AJ24&lt;10000000,"Pass","Fail")</f>
        <v>Fail</v>
      </c>
      <c r="AL25" s="5"/>
      <c r="AN25" s="2">
        <f>683*SUM(AO29:AO204)/1000</f>
        <v>18544028.721945751</v>
      </c>
      <c r="AO25" s="3" t="s">
        <v>35</v>
      </c>
    </row>
    <row r="26" spans="2:41">
      <c r="B26" s="1"/>
      <c r="C26" s="1"/>
      <c r="D26" s="1"/>
      <c r="E26" s="1"/>
      <c r="F26" s="1"/>
      <c r="AG26" s="5"/>
      <c r="AH26" s="5"/>
      <c r="AI26" s="5"/>
      <c r="AJ26" s="5"/>
      <c r="AK26" s="5"/>
      <c r="AL26" s="5"/>
    </row>
    <row r="27" spans="2:41">
      <c r="B27" s="1" t="s">
        <v>0</v>
      </c>
      <c r="C27" s="1" t="s">
        <v>126</v>
      </c>
      <c r="D27" s="1"/>
      <c r="E27" s="1" t="s">
        <v>0</v>
      </c>
      <c r="F27" s="1" t="s">
        <v>7</v>
      </c>
      <c r="H27" s="1"/>
      <c r="I27" s="22"/>
      <c r="J27" s="1"/>
      <c r="K27" s="1"/>
      <c r="L27" s="22"/>
      <c r="M27" s="1"/>
      <c r="N27" s="1"/>
      <c r="O27" s="22"/>
      <c r="Q27" s="1"/>
      <c r="R27" s="22"/>
      <c r="S27" s="1"/>
      <c r="T27" s="1"/>
      <c r="U27" s="1"/>
      <c r="V27" s="1"/>
      <c r="W27" s="1"/>
      <c r="X27" s="1"/>
      <c r="Y27" s="1" t="str">
        <f t="shared" ref="Y27:AB28" si="0">B27</f>
        <v>Wavelength</v>
      </c>
      <c r="Z27" s="1" t="str">
        <f t="shared" si="0"/>
        <v>Irradiance in 2π</v>
      </c>
      <c r="AA27" s="1" t="s">
        <v>18</v>
      </c>
      <c r="AB27" s="1" t="s">
        <v>19</v>
      </c>
      <c r="AC27" s="1" t="s">
        <v>20</v>
      </c>
      <c r="AD27" s="1" t="s">
        <v>12</v>
      </c>
      <c r="AE27" s="1" t="s">
        <v>21</v>
      </c>
      <c r="AH27" s="1" t="str">
        <f>E27</f>
        <v>Wavelength</v>
      </c>
      <c r="AI27" s="1" t="str">
        <f>F27</f>
        <v>Radiance 11mrad</v>
      </c>
      <c r="AJ27" s="1" t="s">
        <v>18</v>
      </c>
      <c r="AK27" s="1" t="s">
        <v>28</v>
      </c>
      <c r="AL27" s="1" t="s">
        <v>20</v>
      </c>
      <c r="AM27" s="1" t="s">
        <v>12</v>
      </c>
      <c r="AN27" s="1" t="s">
        <v>34</v>
      </c>
    </row>
    <row r="28" spans="2:41">
      <c r="B28" s="1" t="s">
        <v>1</v>
      </c>
      <c r="C28" s="1" t="s">
        <v>3</v>
      </c>
      <c r="D28" s="1"/>
      <c r="E28" s="1" t="s">
        <v>1</v>
      </c>
      <c r="F28" s="1" t="s">
        <v>5</v>
      </c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 t="str">
        <f t="shared" si="0"/>
        <v>(nm)</v>
      </c>
      <c r="Z28" s="1" t="str">
        <f t="shared" si="0"/>
        <v>(mW m-2 nm-1)</v>
      </c>
      <c r="AA28" s="1" t="s">
        <v>6</v>
      </c>
      <c r="AB28" s="1" t="str">
        <f>Z28</f>
        <v>(mW m-2 nm-1)</v>
      </c>
      <c r="AC28" s="1" t="str">
        <f>Z28</f>
        <v>(mW m-2 nm-1)</v>
      </c>
      <c r="AD28" s="1" t="s">
        <v>6</v>
      </c>
      <c r="AE28" s="1" t="s">
        <v>15</v>
      </c>
      <c r="AH28" s="1" t="str">
        <f t="shared" ref="AH28:AH91" si="1">E28</f>
        <v>(nm)</v>
      </c>
      <c r="AI28" s="1" t="str">
        <f t="shared" ref="AI28:AI91" si="2">F28</f>
        <v>(mW m-2 sr-1 nm-1)</v>
      </c>
      <c r="AJ28" s="1" t="s">
        <v>6</v>
      </c>
      <c r="AK28" s="1" t="s">
        <v>32</v>
      </c>
      <c r="AL28" s="1" t="s">
        <v>33</v>
      </c>
      <c r="AM28" s="1" t="s">
        <v>6</v>
      </c>
      <c r="AN28" s="1" t="s">
        <v>15</v>
      </c>
    </row>
    <row r="29" spans="2:41">
      <c r="B29" s="32">
        <v>300</v>
      </c>
      <c r="C29" s="36"/>
      <c r="E29" s="32">
        <v>300</v>
      </c>
      <c r="F29" s="36">
        <v>1.7062851286531244E-2</v>
      </c>
      <c r="Y29" s="31">
        <f>B29</f>
        <v>300</v>
      </c>
      <c r="Z29" s="32">
        <f>C29</f>
        <v>0</v>
      </c>
      <c r="AA29" s="31">
        <f>VLOOKUP(Y29,'Hazard Weighting Functions'!$B$5:$G$1205,3,FALSE)</f>
        <v>0.01</v>
      </c>
      <c r="AB29" s="31">
        <f>AA29*Z29</f>
        <v>0</v>
      </c>
      <c r="AC29" s="31">
        <f>0.5*(Y30-Y29)*(AB29+AB30)</f>
        <v>0</v>
      </c>
      <c r="AD29" s="31">
        <f>VLOOKUP(Y29,'Hazard Weighting Functions'!$B$5:$G$1205,5,FALSE)</f>
        <v>0</v>
      </c>
      <c r="AE29" s="31">
        <f>AD29*Z29</f>
        <v>0</v>
      </c>
      <c r="AF29" s="31">
        <f>0.5*(Y30-Y29)*(AE29+AE30)</f>
        <v>0</v>
      </c>
      <c r="AH29" s="1">
        <f t="shared" si="1"/>
        <v>300</v>
      </c>
      <c r="AI29" s="1">
        <f t="shared" si="2"/>
        <v>1.7062851286531244E-2</v>
      </c>
      <c r="AJ29" s="31">
        <f>VLOOKUP(AH29,'Hazard Weighting Functions'!$B$5:$G$1205,3,FALSE)</f>
        <v>0.01</v>
      </c>
      <c r="AK29" s="31">
        <f>AI29*AJ29</f>
        <v>1.7062851286531243E-4</v>
      </c>
      <c r="AL29" s="31">
        <f>0.5*(AH30-AH29)*(AK29+AK30)</f>
        <v>3.7032757551163796E-4</v>
      </c>
      <c r="AM29" s="32">
        <f>VLOOKUP(AH29,'Hazard Weighting Functions'!$B$5:$G$1205,5,FALSE)</f>
        <v>0</v>
      </c>
      <c r="AN29" s="32">
        <f>AM29*AI29</f>
        <v>0</v>
      </c>
      <c r="AO29" s="32">
        <f>0.5*(AH30-AH29)*(AN29+AN30)</f>
        <v>0</v>
      </c>
    </row>
    <row r="30" spans="2:41">
      <c r="B30" s="32">
        <v>302</v>
      </c>
      <c r="C30" s="36"/>
      <c r="E30" s="32">
        <v>302</v>
      </c>
      <c r="F30" s="36">
        <v>1.9969906264632555E-2</v>
      </c>
      <c r="Y30" s="32">
        <f t="shared" ref="Y30:Y93" si="3">B30</f>
        <v>302</v>
      </c>
      <c r="Z30" s="32">
        <f t="shared" ref="Z30:Z93" si="4">C30</f>
        <v>0</v>
      </c>
      <c r="AA30" s="31">
        <f>VLOOKUP(Y30,'Hazard Weighting Functions'!$B$5:$G$1205,3,FALSE)</f>
        <v>0.01</v>
      </c>
      <c r="AB30" s="31">
        <f>AA30*Z30</f>
        <v>0</v>
      </c>
      <c r="AC30" s="31">
        <f>0.5*(Y31-Y30)*(AB30+AB31)</f>
        <v>0</v>
      </c>
      <c r="AD30" s="31">
        <f>VLOOKUP(Y30,'Hazard Weighting Functions'!$B$5:$G$1205,5,FALSE)</f>
        <v>0</v>
      </c>
      <c r="AE30" s="31">
        <f>AD30*Z30</f>
        <v>0</v>
      </c>
      <c r="AF30" s="31">
        <f>0.5*(Y31-Y30)*(AE30+AE31)</f>
        <v>0</v>
      </c>
      <c r="AH30" s="1">
        <f t="shared" si="1"/>
        <v>302</v>
      </c>
      <c r="AI30" s="1">
        <f t="shared" si="2"/>
        <v>1.9969906264632555E-2</v>
      </c>
      <c r="AJ30" s="31">
        <f>VLOOKUP(AH30,'Hazard Weighting Functions'!$B$5:$G$1205,3,FALSE)</f>
        <v>0.01</v>
      </c>
      <c r="AK30" s="31">
        <f t="shared" ref="AK30:AK93" si="5">AI30*AJ30</f>
        <v>1.9969906264632556E-4</v>
      </c>
      <c r="AL30" s="31">
        <f t="shared" ref="AL30:AL93" si="6">0.5*(AH31-AH30)*(AK30+AK31)</f>
        <v>4.8471976609390348E-4</v>
      </c>
      <c r="AM30" s="32">
        <f>VLOOKUP(AH30,'Hazard Weighting Functions'!$B$5:$G$1205,5,FALSE)</f>
        <v>0</v>
      </c>
      <c r="AN30" s="32">
        <f>AM30*AI30</f>
        <v>0</v>
      </c>
      <c r="AO30" s="32">
        <f>0.5*(AH31-AH30)*(AN30+AN31)</f>
        <v>0</v>
      </c>
    </row>
    <row r="31" spans="2:41">
      <c r="B31" s="32">
        <v>304</v>
      </c>
      <c r="C31" s="36"/>
      <c r="E31" s="32">
        <v>304</v>
      </c>
      <c r="F31" s="36">
        <v>2.8502070344757789E-2</v>
      </c>
      <c r="Y31" s="32">
        <f t="shared" si="3"/>
        <v>304</v>
      </c>
      <c r="Z31" s="32">
        <f t="shared" si="4"/>
        <v>0</v>
      </c>
      <c r="AA31" s="31">
        <f>VLOOKUP(Y31,'Hazard Weighting Functions'!$B$5:$G$1205,3,FALSE)</f>
        <v>0.01</v>
      </c>
      <c r="AB31" s="31">
        <f>AA31*Z31</f>
        <v>0</v>
      </c>
      <c r="AC31" s="31">
        <f>0.5*(Y32-Y31)*(AB31+AB32)</f>
        <v>0</v>
      </c>
      <c r="AD31" s="31">
        <f>VLOOKUP(Y31,'Hazard Weighting Functions'!$B$5:$G$1205,5,FALSE)</f>
        <v>0</v>
      </c>
      <c r="AE31" s="31">
        <f>AD31*Z31</f>
        <v>0</v>
      </c>
      <c r="AF31" s="31">
        <f>0.5*(Y32-Y31)*(AE31+AE32)</f>
        <v>0</v>
      </c>
      <c r="AH31" s="1">
        <f t="shared" si="1"/>
        <v>304</v>
      </c>
      <c r="AI31" s="1">
        <f t="shared" si="2"/>
        <v>2.8502070344757789E-2</v>
      </c>
      <c r="AJ31" s="31">
        <f>VLOOKUP(AH31,'Hazard Weighting Functions'!$B$5:$G$1205,3,FALSE)</f>
        <v>0.01</v>
      </c>
      <c r="AK31" s="31">
        <f t="shared" si="5"/>
        <v>2.8502070344757789E-4</v>
      </c>
      <c r="AL31" s="31">
        <f t="shared" si="6"/>
        <v>5.3244991753699544E-4</v>
      </c>
      <c r="AM31" s="32">
        <f>VLOOKUP(AH31,'Hazard Weighting Functions'!$B$5:$G$1205,5,FALSE)</f>
        <v>0</v>
      </c>
      <c r="AN31" s="32">
        <f>AM31*AI31</f>
        <v>0</v>
      </c>
      <c r="AO31" s="32">
        <f>0.5*(AH32-AH31)*(AN31+AN32)</f>
        <v>0</v>
      </c>
    </row>
    <row r="32" spans="2:41">
      <c r="B32" s="32">
        <v>306</v>
      </c>
      <c r="C32" s="36"/>
      <c r="E32" s="32">
        <v>306</v>
      </c>
      <c r="F32" s="36">
        <v>2.4742921408941757E-2</v>
      </c>
      <c r="Y32" s="32">
        <f t="shared" si="3"/>
        <v>306</v>
      </c>
      <c r="Z32" s="32">
        <f t="shared" si="4"/>
        <v>0</v>
      </c>
      <c r="AA32" s="31">
        <f>VLOOKUP(Y32,'Hazard Weighting Functions'!$B$5:$G$1205,3,FALSE)</f>
        <v>0.01</v>
      </c>
      <c r="AB32" s="31">
        <f>AA32*Z32</f>
        <v>0</v>
      </c>
      <c r="AC32" s="31">
        <f>0.5*(Y33-Y32)*(AB32+AB33)</f>
        <v>0</v>
      </c>
      <c r="AD32" s="31">
        <f>VLOOKUP(Y32,'Hazard Weighting Functions'!$B$5:$G$1205,5,FALSE)</f>
        <v>0</v>
      </c>
      <c r="AE32" s="31">
        <f>AD32*Z32</f>
        <v>0</v>
      </c>
      <c r="AF32" s="31">
        <f>0.5*(Y33-Y32)*(AE32+AE33)</f>
        <v>0</v>
      </c>
      <c r="AH32" s="1">
        <f t="shared" si="1"/>
        <v>306</v>
      </c>
      <c r="AI32" s="1">
        <f t="shared" si="2"/>
        <v>2.4742921408941757E-2</v>
      </c>
      <c r="AJ32" s="31">
        <f>VLOOKUP(AH32,'Hazard Weighting Functions'!$B$5:$G$1205,3,FALSE)</f>
        <v>0.01</v>
      </c>
      <c r="AK32" s="31">
        <f t="shared" si="5"/>
        <v>2.4742921408941755E-4</v>
      </c>
      <c r="AL32" s="31">
        <f t="shared" si="6"/>
        <v>3.5691222127340252E-4</v>
      </c>
      <c r="AM32" s="32">
        <f>VLOOKUP(AH32,'Hazard Weighting Functions'!$B$5:$G$1205,5,FALSE)</f>
        <v>0</v>
      </c>
      <c r="AN32" s="32">
        <f>AM32*AI32</f>
        <v>0</v>
      </c>
      <c r="AO32" s="32">
        <f>0.5*(AH33-AH32)*(AN32+AN33)</f>
        <v>0</v>
      </c>
    </row>
    <row r="33" spans="2:41">
      <c r="B33" s="32">
        <v>308</v>
      </c>
      <c r="C33" s="36"/>
      <c r="E33" s="32">
        <v>308</v>
      </c>
      <c r="F33" s="36">
        <v>1.09483007183985E-2</v>
      </c>
      <c r="P33" s="34"/>
      <c r="Y33" s="32">
        <f t="shared" si="3"/>
        <v>308</v>
      </c>
      <c r="Z33" s="32">
        <f t="shared" si="4"/>
        <v>0</v>
      </c>
      <c r="AA33" s="31">
        <f>VLOOKUP(Y33,'Hazard Weighting Functions'!$B$5:$G$1205,3,FALSE)</f>
        <v>0.01</v>
      </c>
      <c r="AB33" s="31">
        <f>AA33*Z33</f>
        <v>0</v>
      </c>
      <c r="AC33" s="31">
        <f>0.5*(Y34-Y33)*(AB33+AB34)</f>
        <v>0</v>
      </c>
      <c r="AD33" s="31">
        <f>VLOOKUP(Y33,'Hazard Weighting Functions'!$B$5:$G$1205,5,FALSE)</f>
        <v>0</v>
      </c>
      <c r="AE33" s="31">
        <f>AD33*Z33</f>
        <v>0</v>
      </c>
      <c r="AF33" s="31">
        <f>0.5*(Y34-Y33)*(AE33+AE34)</f>
        <v>0</v>
      </c>
      <c r="AH33" s="1">
        <f t="shared" si="1"/>
        <v>308</v>
      </c>
      <c r="AI33" s="1">
        <f t="shared" si="2"/>
        <v>1.09483007183985E-2</v>
      </c>
      <c r="AJ33" s="31">
        <f>VLOOKUP(AH33,'Hazard Weighting Functions'!$B$5:$G$1205,3,FALSE)</f>
        <v>0.01</v>
      </c>
      <c r="AK33" s="31">
        <f t="shared" si="5"/>
        <v>1.09483007183985E-4</v>
      </c>
      <c r="AL33" s="31">
        <f t="shared" si="6"/>
        <v>2.7017657664448499E-4</v>
      </c>
      <c r="AM33" s="32">
        <f>VLOOKUP(AH33,'Hazard Weighting Functions'!$B$5:$G$1205,5,FALSE)</f>
        <v>0</v>
      </c>
      <c r="AN33" s="32">
        <f>AM33*AI33</f>
        <v>0</v>
      </c>
      <c r="AO33" s="32">
        <f>0.5*(AH34-AH33)*(AN33+AN34)</f>
        <v>0</v>
      </c>
    </row>
    <row r="34" spans="2:41">
      <c r="B34" s="32">
        <v>310</v>
      </c>
      <c r="C34" s="36"/>
      <c r="E34" s="32">
        <v>310</v>
      </c>
      <c r="F34" s="36">
        <v>1.6069356946049999E-2</v>
      </c>
      <c r="P34" s="33"/>
      <c r="Y34" s="32">
        <f t="shared" si="3"/>
        <v>310</v>
      </c>
      <c r="Z34" s="32">
        <f t="shared" si="4"/>
        <v>0</v>
      </c>
      <c r="AA34" s="31">
        <f>VLOOKUP(Y34,'Hazard Weighting Functions'!$B$5:$G$1205,3,FALSE)</f>
        <v>0.01</v>
      </c>
      <c r="AB34" s="31">
        <f>AA34*Z34</f>
        <v>0</v>
      </c>
      <c r="AC34" s="31">
        <f>0.5*(Y35-Y34)*(AB34+AB35)</f>
        <v>0</v>
      </c>
      <c r="AD34" s="31">
        <f>VLOOKUP(Y34,'Hazard Weighting Functions'!$B$5:$G$1205,5,FALSE)</f>
        <v>0</v>
      </c>
      <c r="AE34" s="31">
        <f>AD34*Z34</f>
        <v>0</v>
      </c>
      <c r="AF34" s="31">
        <f>0.5*(Y35-Y34)*(AE34+AE35)</f>
        <v>0</v>
      </c>
      <c r="AH34" s="1">
        <f t="shared" si="1"/>
        <v>310</v>
      </c>
      <c r="AI34" s="1">
        <f t="shared" si="2"/>
        <v>1.6069356946049999E-2</v>
      </c>
      <c r="AJ34" s="31">
        <f>VLOOKUP(AH34,'Hazard Weighting Functions'!$B$5:$G$1205,3,FALSE)</f>
        <v>0.01</v>
      </c>
      <c r="AK34" s="31">
        <f t="shared" si="5"/>
        <v>1.606935694605E-4</v>
      </c>
      <c r="AL34" s="31">
        <f t="shared" si="6"/>
        <v>2.7433988384379808E-4</v>
      </c>
      <c r="AM34" s="32">
        <f>VLOOKUP(AH34,'Hazard Weighting Functions'!$B$5:$G$1205,5,FALSE)</f>
        <v>0</v>
      </c>
      <c r="AN34" s="32">
        <f>AM34*AI34</f>
        <v>0</v>
      </c>
      <c r="AO34" s="32">
        <f>0.5*(AH35-AH34)*(AN34+AN35)</f>
        <v>0</v>
      </c>
    </row>
    <row r="35" spans="2:41">
      <c r="B35" s="32">
        <v>312</v>
      </c>
      <c r="C35" s="36"/>
      <c r="E35" s="32">
        <v>312</v>
      </c>
      <c r="F35" s="36">
        <v>1.1364631438329807E-2</v>
      </c>
      <c r="P35" s="34"/>
      <c r="Y35" s="32">
        <f t="shared" si="3"/>
        <v>312</v>
      </c>
      <c r="Z35" s="32">
        <f t="shared" si="4"/>
        <v>0</v>
      </c>
      <c r="AA35" s="31">
        <f>VLOOKUP(Y35,'Hazard Weighting Functions'!$B$5:$G$1205,3,FALSE)</f>
        <v>0.01</v>
      </c>
      <c r="AB35" s="31">
        <f>AA35*Z35</f>
        <v>0</v>
      </c>
      <c r="AC35" s="31">
        <f>0.5*(Y36-Y35)*(AB35+AB36)</f>
        <v>0</v>
      </c>
      <c r="AD35" s="31">
        <f>VLOOKUP(Y35,'Hazard Weighting Functions'!$B$5:$G$1205,5,FALSE)</f>
        <v>0</v>
      </c>
      <c r="AE35" s="31">
        <f>AD35*Z35</f>
        <v>0</v>
      </c>
      <c r="AF35" s="31">
        <f>0.5*(Y36-Y35)*(AE35+AE36)</f>
        <v>0</v>
      </c>
      <c r="AH35" s="1">
        <f t="shared" si="1"/>
        <v>312</v>
      </c>
      <c r="AI35" s="1">
        <f t="shared" si="2"/>
        <v>1.1364631438329807E-2</v>
      </c>
      <c r="AJ35" s="31">
        <f>VLOOKUP(AH35,'Hazard Weighting Functions'!$B$5:$G$1205,3,FALSE)</f>
        <v>0.01</v>
      </c>
      <c r="AK35" s="31">
        <f t="shared" si="5"/>
        <v>1.1364631438329807E-4</v>
      </c>
      <c r="AL35" s="31">
        <f t="shared" si="6"/>
        <v>3.4276232165418889E-4</v>
      </c>
      <c r="AM35" s="32">
        <f>VLOOKUP(AH35,'Hazard Weighting Functions'!$B$5:$G$1205,5,FALSE)</f>
        <v>0</v>
      </c>
      <c r="AN35" s="32">
        <f>AM35*AI35</f>
        <v>0</v>
      </c>
      <c r="AO35" s="32">
        <f>0.5*(AH36-AH35)*(AN35+AN36)</f>
        <v>0</v>
      </c>
    </row>
    <row r="36" spans="2:41">
      <c r="B36" s="32">
        <v>314</v>
      </c>
      <c r="C36" s="36"/>
      <c r="E36" s="32">
        <v>314</v>
      </c>
      <c r="F36" s="36">
        <v>2.2911600727089081E-2</v>
      </c>
      <c r="Y36" s="32">
        <f t="shared" si="3"/>
        <v>314</v>
      </c>
      <c r="Z36" s="32">
        <f t="shared" si="4"/>
        <v>0</v>
      </c>
      <c r="AA36" s="31">
        <f>VLOOKUP(Y36,'Hazard Weighting Functions'!$B$5:$G$1205,3,FALSE)</f>
        <v>0.01</v>
      </c>
      <c r="AB36" s="31">
        <f>AA36*Z36</f>
        <v>0</v>
      </c>
      <c r="AC36" s="31">
        <f>0.5*(Y37-Y36)*(AB36+AB37)</f>
        <v>0</v>
      </c>
      <c r="AD36" s="31">
        <f>VLOOKUP(Y36,'Hazard Weighting Functions'!$B$5:$G$1205,5,FALSE)</f>
        <v>0</v>
      </c>
      <c r="AE36" s="31">
        <f>AD36*Z36</f>
        <v>0</v>
      </c>
      <c r="AF36" s="31">
        <f>0.5*(Y37-Y36)*(AE36+AE37)</f>
        <v>0</v>
      </c>
      <c r="AH36" s="1">
        <f t="shared" si="1"/>
        <v>314</v>
      </c>
      <c r="AI36" s="1">
        <f t="shared" si="2"/>
        <v>2.2911600727089081E-2</v>
      </c>
      <c r="AJ36" s="31">
        <f>VLOOKUP(AH36,'Hazard Weighting Functions'!$B$5:$G$1205,3,FALSE)</f>
        <v>0.01</v>
      </c>
      <c r="AK36" s="31">
        <f t="shared" si="5"/>
        <v>2.2911600727089081E-4</v>
      </c>
      <c r="AL36" s="31">
        <f t="shared" si="6"/>
        <v>5.5496994717031342E-4</v>
      </c>
      <c r="AM36" s="32">
        <f>VLOOKUP(AH36,'Hazard Weighting Functions'!$B$5:$G$1205,5,FALSE)</f>
        <v>0</v>
      </c>
      <c r="AN36" s="32">
        <f>AM36*AI36</f>
        <v>0</v>
      </c>
      <c r="AO36" s="32">
        <f>0.5*(AH37-AH36)*(AN36+AN37)</f>
        <v>0</v>
      </c>
    </row>
    <row r="37" spans="2:41">
      <c r="B37" s="32">
        <v>316</v>
      </c>
      <c r="C37" s="36"/>
      <c r="E37" s="32">
        <v>316</v>
      </c>
      <c r="F37" s="36">
        <v>3.2585393989942257E-2</v>
      </c>
      <c r="Y37" s="32">
        <f t="shared" si="3"/>
        <v>316</v>
      </c>
      <c r="Z37" s="32">
        <f t="shared" si="4"/>
        <v>0</v>
      </c>
      <c r="AA37" s="31">
        <f>VLOOKUP(Y37,'Hazard Weighting Functions'!$B$5:$G$1205,3,FALSE)</f>
        <v>0.01</v>
      </c>
      <c r="AB37" s="31">
        <f>AA37*Z37</f>
        <v>0</v>
      </c>
      <c r="AC37" s="31">
        <f>0.5*(Y38-Y37)*(AB37+AB38)</f>
        <v>0</v>
      </c>
      <c r="AD37" s="31">
        <f>VLOOKUP(Y37,'Hazard Weighting Functions'!$B$5:$G$1205,5,FALSE)</f>
        <v>0</v>
      </c>
      <c r="AE37" s="31">
        <f>AD37*Z37</f>
        <v>0</v>
      </c>
      <c r="AF37" s="31">
        <f>0.5*(Y38-Y37)*(AE37+AE38)</f>
        <v>0</v>
      </c>
      <c r="AH37" s="1">
        <f t="shared" si="1"/>
        <v>316</v>
      </c>
      <c r="AI37" s="1">
        <f t="shared" si="2"/>
        <v>3.2585393989942257E-2</v>
      </c>
      <c r="AJ37" s="31">
        <f>VLOOKUP(AH37,'Hazard Weighting Functions'!$B$5:$G$1205,3,FALSE)</f>
        <v>0.01</v>
      </c>
      <c r="AK37" s="31">
        <f t="shared" si="5"/>
        <v>3.2585393989942259E-4</v>
      </c>
      <c r="AL37" s="31">
        <f t="shared" si="6"/>
        <v>6.1091883944134435E-4</v>
      </c>
      <c r="AM37" s="32">
        <f>VLOOKUP(AH37,'Hazard Weighting Functions'!$B$5:$G$1205,5,FALSE)</f>
        <v>0</v>
      </c>
      <c r="AN37" s="32">
        <f>AM37*AI37</f>
        <v>0</v>
      </c>
      <c r="AO37" s="32">
        <f>0.5*(AH38-AH37)*(AN37+AN38)</f>
        <v>0</v>
      </c>
    </row>
    <row r="38" spans="2:41">
      <c r="B38" s="32">
        <v>318</v>
      </c>
      <c r="C38" s="36"/>
      <c r="E38" s="32">
        <v>318</v>
      </c>
      <c r="F38" s="36">
        <v>2.8506489954192183E-2</v>
      </c>
      <c r="Y38" s="32">
        <f t="shared" si="3"/>
        <v>318</v>
      </c>
      <c r="Z38" s="32">
        <f t="shared" si="4"/>
        <v>0</v>
      </c>
      <c r="AA38" s="31">
        <f>VLOOKUP(Y38,'Hazard Weighting Functions'!$B$5:$G$1205,3,FALSE)</f>
        <v>0.01</v>
      </c>
      <c r="AB38" s="31">
        <f>AA38*Z38</f>
        <v>0</v>
      </c>
      <c r="AC38" s="31">
        <f>0.5*(Y39-Y38)*(AB38+AB39)</f>
        <v>0</v>
      </c>
      <c r="AD38" s="31">
        <f>VLOOKUP(Y38,'Hazard Weighting Functions'!$B$5:$G$1205,5,FALSE)</f>
        <v>0</v>
      </c>
      <c r="AE38" s="31">
        <f>AD38*Z38</f>
        <v>0</v>
      </c>
      <c r="AF38" s="31">
        <f>0.5*(Y39-Y38)*(AE38+AE39)</f>
        <v>0</v>
      </c>
      <c r="AH38" s="1">
        <f t="shared" si="1"/>
        <v>318</v>
      </c>
      <c r="AI38" s="1">
        <f t="shared" si="2"/>
        <v>2.8506489954192183E-2</v>
      </c>
      <c r="AJ38" s="31">
        <f>VLOOKUP(AH38,'Hazard Weighting Functions'!$B$5:$G$1205,3,FALSE)</f>
        <v>0.01</v>
      </c>
      <c r="AK38" s="31">
        <f t="shared" si="5"/>
        <v>2.8506489954192182E-4</v>
      </c>
      <c r="AL38" s="31">
        <f t="shared" si="6"/>
        <v>5.4981434157232612E-4</v>
      </c>
      <c r="AM38" s="32">
        <f>VLOOKUP(AH38,'Hazard Weighting Functions'!$B$5:$G$1205,5,FALSE)</f>
        <v>0</v>
      </c>
      <c r="AN38" s="32">
        <f>AM38*AI38</f>
        <v>0</v>
      </c>
      <c r="AO38" s="32">
        <f>0.5*(AH39-AH38)*(AN38+AN39)</f>
        <v>0</v>
      </c>
    </row>
    <row r="39" spans="2:41">
      <c r="B39" s="32">
        <v>320</v>
      </c>
      <c r="C39" s="36"/>
      <c r="E39" s="32">
        <v>320</v>
      </c>
      <c r="F39" s="36">
        <v>2.6474944203040428E-2</v>
      </c>
      <c r="Y39" s="32">
        <f t="shared" si="3"/>
        <v>320</v>
      </c>
      <c r="Z39" s="32">
        <f t="shared" si="4"/>
        <v>0</v>
      </c>
      <c r="AA39" s="31">
        <f>VLOOKUP(Y39,'Hazard Weighting Functions'!$B$5:$G$1205,3,FALSE)</f>
        <v>0.01</v>
      </c>
      <c r="AB39" s="31">
        <f>AA39*Z39</f>
        <v>0</v>
      </c>
      <c r="AC39" s="31">
        <f>0.5*(Y40-Y39)*(AB39+AB40)</f>
        <v>0</v>
      </c>
      <c r="AD39" s="31">
        <f>VLOOKUP(Y39,'Hazard Weighting Functions'!$B$5:$G$1205,5,FALSE)</f>
        <v>0</v>
      </c>
      <c r="AE39" s="31">
        <f>AD39*Z39</f>
        <v>0</v>
      </c>
      <c r="AF39" s="31">
        <f>0.5*(Y40-Y39)*(AE39+AE40)</f>
        <v>0</v>
      </c>
      <c r="AH39" s="1">
        <f t="shared" si="1"/>
        <v>320</v>
      </c>
      <c r="AI39" s="1">
        <f t="shared" si="2"/>
        <v>2.6474944203040428E-2</v>
      </c>
      <c r="AJ39" s="31">
        <f>VLOOKUP(AH39,'Hazard Weighting Functions'!$B$5:$G$1205,3,FALSE)</f>
        <v>0.01</v>
      </c>
      <c r="AK39" s="31">
        <f t="shared" si="5"/>
        <v>2.647494420304043E-4</v>
      </c>
      <c r="AL39" s="31">
        <f t="shared" si="6"/>
        <v>1.3082791122169561E-3</v>
      </c>
      <c r="AM39" s="32">
        <f>VLOOKUP(AH39,'Hazard Weighting Functions'!$B$5:$G$1205,5,FALSE)</f>
        <v>0</v>
      </c>
      <c r="AN39" s="32">
        <f>AM39*AI39</f>
        <v>0</v>
      </c>
      <c r="AO39" s="32">
        <f>0.5*(AH40-AH39)*(AN39+AN40)</f>
        <v>0</v>
      </c>
    </row>
    <row r="40" spans="2:41">
      <c r="B40" s="32">
        <v>322</v>
      </c>
      <c r="C40" s="36"/>
      <c r="E40" s="32">
        <v>322</v>
      </c>
      <c r="F40" s="36">
        <v>0.10435296701865517</v>
      </c>
      <c r="Y40" s="32">
        <f t="shared" si="3"/>
        <v>322</v>
      </c>
      <c r="Z40" s="32">
        <f t="shared" si="4"/>
        <v>0</v>
      </c>
      <c r="AA40" s="31">
        <f>VLOOKUP(Y40,'Hazard Weighting Functions'!$B$5:$G$1205,3,FALSE)</f>
        <v>0.01</v>
      </c>
      <c r="AB40" s="31">
        <f>AA40*Z40</f>
        <v>0</v>
      </c>
      <c r="AC40" s="31">
        <f>0.5*(Y41-Y40)*(AB40+AB41)</f>
        <v>0</v>
      </c>
      <c r="AD40" s="31">
        <f>VLOOKUP(Y40,'Hazard Weighting Functions'!$B$5:$G$1205,5,FALSE)</f>
        <v>0</v>
      </c>
      <c r="AE40" s="31">
        <f>AD40*Z40</f>
        <v>0</v>
      </c>
      <c r="AF40" s="31">
        <f>0.5*(Y41-Y40)*(AE40+AE41)</f>
        <v>0</v>
      </c>
      <c r="AH40" s="1">
        <f t="shared" si="1"/>
        <v>322</v>
      </c>
      <c r="AI40" s="1">
        <f t="shared" si="2"/>
        <v>0.10435296701865517</v>
      </c>
      <c r="AJ40" s="31">
        <f>VLOOKUP(AH40,'Hazard Weighting Functions'!$B$5:$G$1205,3,FALSE)</f>
        <v>0.01</v>
      </c>
      <c r="AK40" s="31">
        <f t="shared" si="5"/>
        <v>1.0435296701865517E-3</v>
      </c>
      <c r="AL40" s="31">
        <f t="shared" si="6"/>
        <v>2.2008915935592555E-3</v>
      </c>
      <c r="AM40" s="32">
        <f>VLOOKUP(AH40,'Hazard Weighting Functions'!$B$5:$G$1205,5,FALSE)</f>
        <v>0</v>
      </c>
      <c r="AN40" s="32">
        <f>AM40*AI40</f>
        <v>0</v>
      </c>
      <c r="AO40" s="32">
        <f>0.5*(AH41-AH40)*(AN40+AN41)</f>
        <v>0</v>
      </c>
    </row>
    <row r="41" spans="2:41">
      <c r="B41" s="32">
        <v>324</v>
      </c>
      <c r="C41" s="36"/>
      <c r="E41" s="32">
        <v>324</v>
      </c>
      <c r="F41" s="36">
        <v>0.11573619233727041</v>
      </c>
      <c r="Y41" s="32">
        <f t="shared" si="3"/>
        <v>324</v>
      </c>
      <c r="Z41" s="32">
        <f t="shared" si="4"/>
        <v>0</v>
      </c>
      <c r="AA41" s="31">
        <f>VLOOKUP(Y41,'Hazard Weighting Functions'!$B$5:$G$1205,3,FALSE)</f>
        <v>0.01</v>
      </c>
      <c r="AB41" s="31">
        <f>AA41*Z41</f>
        <v>0</v>
      </c>
      <c r="AC41" s="31">
        <f>0.5*(Y42-Y41)*(AB41+AB42)</f>
        <v>0</v>
      </c>
      <c r="AD41" s="31">
        <f>VLOOKUP(Y41,'Hazard Weighting Functions'!$B$5:$G$1205,5,FALSE)</f>
        <v>0</v>
      </c>
      <c r="AE41" s="31">
        <f>AD41*Z41</f>
        <v>0</v>
      </c>
      <c r="AF41" s="31">
        <f>0.5*(Y42-Y41)*(AE41+AE42)</f>
        <v>0</v>
      </c>
      <c r="AH41" s="1">
        <f t="shared" si="1"/>
        <v>324</v>
      </c>
      <c r="AI41" s="1">
        <f t="shared" si="2"/>
        <v>0.11573619233727041</v>
      </c>
      <c r="AJ41" s="31">
        <f>VLOOKUP(AH41,'Hazard Weighting Functions'!$B$5:$G$1205,3,FALSE)</f>
        <v>0.01</v>
      </c>
      <c r="AK41" s="31">
        <f t="shared" si="5"/>
        <v>1.157361923372704E-3</v>
      </c>
      <c r="AL41" s="31">
        <f t="shared" si="6"/>
        <v>2.4841770236875144E-3</v>
      </c>
      <c r="AM41" s="32">
        <f>VLOOKUP(AH41,'Hazard Weighting Functions'!$B$5:$G$1205,5,FALSE)</f>
        <v>0</v>
      </c>
      <c r="AN41" s="32">
        <f>AM41*AI41</f>
        <v>0</v>
      </c>
      <c r="AO41" s="32">
        <f>0.5*(AH42-AH41)*(AN41+AN42)</f>
        <v>0</v>
      </c>
    </row>
    <row r="42" spans="2:41">
      <c r="B42" s="32">
        <v>326</v>
      </c>
      <c r="C42" s="36"/>
      <c r="E42" s="32">
        <v>326</v>
      </c>
      <c r="F42" s="36">
        <v>0.13268151003148101</v>
      </c>
      <c r="Y42" s="32">
        <f t="shared" si="3"/>
        <v>326</v>
      </c>
      <c r="Z42" s="32">
        <f t="shared" si="4"/>
        <v>0</v>
      </c>
      <c r="AA42" s="31">
        <f>VLOOKUP(Y42,'Hazard Weighting Functions'!$B$5:$G$1205,3,FALSE)</f>
        <v>0.01</v>
      </c>
      <c r="AB42" s="31">
        <f>AA42*Z42</f>
        <v>0</v>
      </c>
      <c r="AC42" s="31">
        <f>0.5*(Y43-Y42)*(AB42+AB43)</f>
        <v>0</v>
      </c>
      <c r="AD42" s="31">
        <f>VLOOKUP(Y42,'Hazard Weighting Functions'!$B$5:$G$1205,5,FALSE)</f>
        <v>0</v>
      </c>
      <c r="AE42" s="31">
        <f>AD42*Z42</f>
        <v>0</v>
      </c>
      <c r="AF42" s="31">
        <f>0.5*(Y43-Y42)*(AE42+AE43)</f>
        <v>0</v>
      </c>
      <c r="AH42" s="1">
        <f t="shared" si="1"/>
        <v>326</v>
      </c>
      <c r="AI42" s="1">
        <f t="shared" si="2"/>
        <v>0.13268151003148101</v>
      </c>
      <c r="AJ42" s="31">
        <f>VLOOKUP(AH42,'Hazard Weighting Functions'!$B$5:$G$1205,3,FALSE)</f>
        <v>0.01</v>
      </c>
      <c r="AK42" s="31">
        <f t="shared" si="5"/>
        <v>1.3268151003148101E-3</v>
      </c>
      <c r="AL42" s="31">
        <f t="shared" si="6"/>
        <v>2.6722130143339148E-3</v>
      </c>
      <c r="AM42" s="32">
        <f>VLOOKUP(AH42,'Hazard Weighting Functions'!$B$5:$G$1205,5,FALSE)</f>
        <v>0</v>
      </c>
      <c r="AN42" s="32">
        <f>AM42*AI42</f>
        <v>0</v>
      </c>
      <c r="AO42" s="32">
        <f>0.5*(AH43-AH42)*(AN42+AN43)</f>
        <v>0</v>
      </c>
    </row>
    <row r="43" spans="2:41">
      <c r="B43" s="32">
        <v>328</v>
      </c>
      <c r="C43" s="36"/>
      <c r="E43" s="32">
        <v>328</v>
      </c>
      <c r="F43" s="36">
        <v>0.1345397914019105</v>
      </c>
      <c r="Y43" s="32">
        <f t="shared" si="3"/>
        <v>328</v>
      </c>
      <c r="Z43" s="32">
        <f t="shared" si="4"/>
        <v>0</v>
      </c>
      <c r="AA43" s="31">
        <f>VLOOKUP(Y43,'Hazard Weighting Functions'!$B$5:$G$1205,3,FALSE)</f>
        <v>0.01</v>
      </c>
      <c r="AB43" s="31">
        <f>AA43*Z43</f>
        <v>0</v>
      </c>
      <c r="AC43" s="31">
        <f>0.5*(Y44-Y43)*(AB43+AB44)</f>
        <v>0</v>
      </c>
      <c r="AD43" s="31">
        <f>VLOOKUP(Y43,'Hazard Weighting Functions'!$B$5:$G$1205,5,FALSE)</f>
        <v>0</v>
      </c>
      <c r="AE43" s="31">
        <f>AD43*Z43</f>
        <v>0</v>
      </c>
      <c r="AF43" s="31">
        <f>0.5*(Y44-Y43)*(AE43+AE44)</f>
        <v>0</v>
      </c>
      <c r="AH43" s="1">
        <f t="shared" si="1"/>
        <v>328</v>
      </c>
      <c r="AI43" s="1">
        <f t="shared" si="2"/>
        <v>0.1345397914019105</v>
      </c>
      <c r="AJ43" s="31">
        <f>VLOOKUP(AH43,'Hazard Weighting Functions'!$B$5:$G$1205,3,FALSE)</f>
        <v>0.01</v>
      </c>
      <c r="AK43" s="31">
        <f t="shared" si="5"/>
        <v>1.3453979140191049E-3</v>
      </c>
      <c r="AL43" s="31">
        <f t="shared" si="6"/>
        <v>2.9208733320829003E-3</v>
      </c>
      <c r="AM43" s="32">
        <f>VLOOKUP(AH43,'Hazard Weighting Functions'!$B$5:$G$1205,5,FALSE)</f>
        <v>0</v>
      </c>
      <c r="AN43" s="32">
        <f>AM43*AI43</f>
        <v>0</v>
      </c>
      <c r="AO43" s="32">
        <f>0.5*(AH44-AH43)*(AN43+AN44)</f>
        <v>0</v>
      </c>
    </row>
    <row r="44" spans="2:41">
      <c r="B44" s="32">
        <v>330</v>
      </c>
      <c r="C44" s="36"/>
      <c r="E44" s="32">
        <v>330</v>
      </c>
      <c r="F44" s="36">
        <v>0.1575475418063795</v>
      </c>
      <c r="Y44" s="32">
        <f t="shared" si="3"/>
        <v>330</v>
      </c>
      <c r="Z44" s="32">
        <f t="shared" si="4"/>
        <v>0</v>
      </c>
      <c r="AA44" s="31">
        <f>VLOOKUP(Y44,'Hazard Weighting Functions'!$B$5:$G$1205,3,FALSE)</f>
        <v>0.01</v>
      </c>
      <c r="AB44" s="31">
        <f>AA44*Z44</f>
        <v>0</v>
      </c>
      <c r="AC44" s="31">
        <f>0.5*(Y45-Y44)*(AB44+AB45)</f>
        <v>0</v>
      </c>
      <c r="AD44" s="31">
        <f>VLOOKUP(Y44,'Hazard Weighting Functions'!$B$5:$G$1205,5,FALSE)</f>
        <v>0</v>
      </c>
      <c r="AE44" s="31">
        <f>AD44*Z44</f>
        <v>0</v>
      </c>
      <c r="AF44" s="31">
        <f>0.5*(Y45-Y44)*(AE44+AE45)</f>
        <v>0</v>
      </c>
      <c r="AH44" s="1">
        <f t="shared" si="1"/>
        <v>330</v>
      </c>
      <c r="AI44" s="1">
        <f t="shared" si="2"/>
        <v>0.1575475418063795</v>
      </c>
      <c r="AJ44" s="31">
        <f>VLOOKUP(AH44,'Hazard Weighting Functions'!$B$5:$G$1205,3,FALSE)</f>
        <v>0.01</v>
      </c>
      <c r="AK44" s="31">
        <f t="shared" si="5"/>
        <v>1.5754754180637952E-3</v>
      </c>
      <c r="AL44" s="31">
        <f t="shared" si="6"/>
        <v>3.1534212442218628E-3</v>
      </c>
      <c r="AM44" s="32">
        <f>VLOOKUP(AH44,'Hazard Weighting Functions'!$B$5:$G$1205,5,FALSE)</f>
        <v>0</v>
      </c>
      <c r="AN44" s="32">
        <f>AM44*AI44</f>
        <v>0</v>
      </c>
      <c r="AO44" s="32">
        <f>0.5*(AH45-AH44)*(AN44+AN45)</f>
        <v>0</v>
      </c>
    </row>
    <row r="45" spans="2:41">
      <c r="B45" s="32">
        <v>332</v>
      </c>
      <c r="C45" s="36"/>
      <c r="E45" s="32">
        <v>332</v>
      </c>
      <c r="F45" s="36">
        <v>0.15779458261580676</v>
      </c>
      <c r="Y45" s="32">
        <f t="shared" si="3"/>
        <v>332</v>
      </c>
      <c r="Z45" s="32">
        <f t="shared" si="4"/>
        <v>0</v>
      </c>
      <c r="AA45" s="31">
        <f>VLOOKUP(Y45,'Hazard Weighting Functions'!$B$5:$G$1205,3,FALSE)</f>
        <v>0.01</v>
      </c>
      <c r="AB45" s="31">
        <f>AA45*Z45</f>
        <v>0</v>
      </c>
      <c r="AC45" s="31">
        <f>0.5*(Y46-Y45)*(AB45+AB46)</f>
        <v>0</v>
      </c>
      <c r="AD45" s="31">
        <f>VLOOKUP(Y45,'Hazard Weighting Functions'!$B$5:$G$1205,5,FALSE)</f>
        <v>0</v>
      </c>
      <c r="AE45" s="31">
        <f>AD45*Z45</f>
        <v>0</v>
      </c>
      <c r="AF45" s="31">
        <f>0.5*(Y46-Y45)*(AE45+AE46)</f>
        <v>0</v>
      </c>
      <c r="AH45" s="1">
        <f t="shared" si="1"/>
        <v>332</v>
      </c>
      <c r="AI45" s="1">
        <f t="shared" si="2"/>
        <v>0.15779458261580676</v>
      </c>
      <c r="AJ45" s="31">
        <f>VLOOKUP(AH45,'Hazard Weighting Functions'!$B$5:$G$1205,3,FALSE)</f>
        <v>0.01</v>
      </c>
      <c r="AK45" s="31">
        <f t="shared" si="5"/>
        <v>1.5779458261580676E-3</v>
      </c>
      <c r="AL45" s="31">
        <f t="shared" si="6"/>
        <v>3.2091920973151846E-3</v>
      </c>
      <c r="AM45" s="32">
        <f>VLOOKUP(AH45,'Hazard Weighting Functions'!$B$5:$G$1205,5,FALSE)</f>
        <v>0</v>
      </c>
      <c r="AN45" s="32">
        <f>AM45*AI45</f>
        <v>0</v>
      </c>
      <c r="AO45" s="32">
        <f>0.5*(AH46-AH45)*(AN45+AN46)</f>
        <v>0</v>
      </c>
    </row>
    <row r="46" spans="2:41">
      <c r="B46" s="32">
        <v>334</v>
      </c>
      <c r="C46" s="36"/>
      <c r="E46" s="32">
        <v>334</v>
      </c>
      <c r="F46" s="36">
        <v>0.16312462711571168</v>
      </c>
      <c r="Y46" s="32">
        <f t="shared" si="3"/>
        <v>334</v>
      </c>
      <c r="Z46" s="32">
        <f t="shared" si="4"/>
        <v>0</v>
      </c>
      <c r="AA46" s="31">
        <f>VLOOKUP(Y46,'Hazard Weighting Functions'!$B$5:$G$1205,3,FALSE)</f>
        <v>0.01</v>
      </c>
      <c r="AB46" s="31">
        <f>AA46*Z46</f>
        <v>0</v>
      </c>
      <c r="AC46" s="31">
        <f>0.5*(Y47-Y46)*(AB46+AB47)</f>
        <v>0</v>
      </c>
      <c r="AD46" s="31">
        <f>VLOOKUP(Y46,'Hazard Weighting Functions'!$B$5:$G$1205,5,FALSE)</f>
        <v>0</v>
      </c>
      <c r="AE46" s="31">
        <f>AD46*Z46</f>
        <v>0</v>
      </c>
      <c r="AF46" s="31">
        <f>0.5*(Y47-Y46)*(AE46+AE47)</f>
        <v>0</v>
      </c>
      <c r="AH46" s="1">
        <f t="shared" si="1"/>
        <v>334</v>
      </c>
      <c r="AI46" s="1">
        <f t="shared" si="2"/>
        <v>0.16312462711571168</v>
      </c>
      <c r="AJ46" s="31">
        <f>VLOOKUP(AH46,'Hazard Weighting Functions'!$B$5:$G$1205,3,FALSE)</f>
        <v>0.01</v>
      </c>
      <c r="AK46" s="31">
        <f t="shared" si="5"/>
        <v>1.631246271157117E-3</v>
      </c>
      <c r="AL46" s="31">
        <f t="shared" si="6"/>
        <v>3.2636715184072361E-3</v>
      </c>
      <c r="AM46" s="32">
        <f>VLOOKUP(AH46,'Hazard Weighting Functions'!$B$5:$G$1205,5,FALSE)</f>
        <v>0</v>
      </c>
      <c r="AN46" s="32">
        <f>AM46*AI46</f>
        <v>0</v>
      </c>
      <c r="AO46" s="32">
        <f>0.5*(AH47-AH46)*(AN46+AN47)</f>
        <v>0</v>
      </c>
    </row>
    <row r="47" spans="2:41">
      <c r="B47" s="32">
        <v>336</v>
      </c>
      <c r="C47" s="36"/>
      <c r="E47" s="32">
        <v>336</v>
      </c>
      <c r="F47" s="36">
        <v>0.16324252472501191</v>
      </c>
      <c r="Y47" s="32">
        <f t="shared" si="3"/>
        <v>336</v>
      </c>
      <c r="Z47" s="32">
        <f t="shared" si="4"/>
        <v>0</v>
      </c>
      <c r="AA47" s="31">
        <f>VLOOKUP(Y47,'Hazard Weighting Functions'!$B$5:$G$1205,3,FALSE)</f>
        <v>0.01</v>
      </c>
      <c r="AB47" s="31">
        <f>AA47*Z47</f>
        <v>0</v>
      </c>
      <c r="AC47" s="31">
        <f>0.5*(Y48-Y47)*(AB47+AB48)</f>
        <v>0</v>
      </c>
      <c r="AD47" s="31">
        <f>VLOOKUP(Y47,'Hazard Weighting Functions'!$B$5:$G$1205,5,FALSE)</f>
        <v>0</v>
      </c>
      <c r="AE47" s="31">
        <f>AD47*Z47</f>
        <v>0</v>
      </c>
      <c r="AF47" s="31">
        <f>0.5*(Y48-Y47)*(AE47+AE48)</f>
        <v>0</v>
      </c>
      <c r="AH47" s="1">
        <f t="shared" si="1"/>
        <v>336</v>
      </c>
      <c r="AI47" s="1">
        <f t="shared" si="2"/>
        <v>0.16324252472501191</v>
      </c>
      <c r="AJ47" s="31">
        <f>VLOOKUP(AH47,'Hazard Weighting Functions'!$B$5:$G$1205,3,FALSE)</f>
        <v>0.01</v>
      </c>
      <c r="AK47" s="31">
        <f t="shared" si="5"/>
        <v>1.6324252472501191E-3</v>
      </c>
      <c r="AL47" s="31">
        <f t="shared" si="6"/>
        <v>3.2818912165222917E-3</v>
      </c>
      <c r="AM47" s="32">
        <f>VLOOKUP(AH47,'Hazard Weighting Functions'!$B$5:$G$1205,5,FALSE)</f>
        <v>0</v>
      </c>
      <c r="AN47" s="32">
        <f>AM47*AI47</f>
        <v>0</v>
      </c>
      <c r="AO47" s="32">
        <f>0.5*(AH48-AH47)*(AN47+AN48)</f>
        <v>0</v>
      </c>
    </row>
    <row r="48" spans="2:41">
      <c r="B48" s="32">
        <v>338</v>
      </c>
      <c r="C48" s="36"/>
      <c r="E48" s="32">
        <v>338</v>
      </c>
      <c r="F48" s="36">
        <v>0.16494659692721728</v>
      </c>
      <c r="Y48" s="32">
        <f t="shared" si="3"/>
        <v>338</v>
      </c>
      <c r="Z48" s="32">
        <f t="shared" si="4"/>
        <v>0</v>
      </c>
      <c r="AA48" s="31">
        <f>VLOOKUP(Y48,'Hazard Weighting Functions'!$B$5:$G$1205,3,FALSE)</f>
        <v>0.01</v>
      </c>
      <c r="AB48" s="31">
        <f>AA48*Z48</f>
        <v>0</v>
      </c>
      <c r="AC48" s="31">
        <f>0.5*(Y49-Y48)*(AB48+AB49)</f>
        <v>0</v>
      </c>
      <c r="AD48" s="31">
        <f>VLOOKUP(Y48,'Hazard Weighting Functions'!$B$5:$G$1205,5,FALSE)</f>
        <v>0</v>
      </c>
      <c r="AE48" s="31">
        <f>AD48*Z48</f>
        <v>0</v>
      </c>
      <c r="AF48" s="31">
        <f>0.5*(Y49-Y48)*(AE48+AE49)</f>
        <v>0</v>
      </c>
      <c r="AH48" s="1">
        <f t="shared" si="1"/>
        <v>338</v>
      </c>
      <c r="AI48" s="1">
        <f t="shared" si="2"/>
        <v>0.16494659692721728</v>
      </c>
      <c r="AJ48" s="31">
        <f>VLOOKUP(AH48,'Hazard Weighting Functions'!$B$5:$G$1205,3,FALSE)</f>
        <v>0.01</v>
      </c>
      <c r="AK48" s="31">
        <f t="shared" si="5"/>
        <v>1.6494659692721729E-3</v>
      </c>
      <c r="AL48" s="31">
        <f t="shared" si="6"/>
        <v>3.3118268393843354E-3</v>
      </c>
      <c r="AM48" s="32">
        <f>VLOOKUP(AH48,'Hazard Weighting Functions'!$B$5:$G$1205,5,FALSE)</f>
        <v>0</v>
      </c>
      <c r="AN48" s="32">
        <f>AM48*AI48</f>
        <v>0</v>
      </c>
      <c r="AO48" s="32">
        <f>0.5*(AH49-AH48)*(AN48+AN49)</f>
        <v>0</v>
      </c>
    </row>
    <row r="49" spans="2:41">
      <c r="B49" s="32">
        <v>340</v>
      </c>
      <c r="C49" s="36"/>
      <c r="E49" s="32">
        <v>340</v>
      </c>
      <c r="F49" s="36">
        <v>0.16623608701121625</v>
      </c>
      <c r="Y49" s="32">
        <f t="shared" si="3"/>
        <v>340</v>
      </c>
      <c r="Z49" s="32">
        <f t="shared" si="4"/>
        <v>0</v>
      </c>
      <c r="AA49" s="31">
        <f>VLOOKUP(Y49,'Hazard Weighting Functions'!$B$5:$G$1205,3,FALSE)</f>
        <v>0.01</v>
      </c>
      <c r="AB49" s="31">
        <f>AA49*Z49</f>
        <v>0</v>
      </c>
      <c r="AC49" s="31">
        <f>0.5*(Y50-Y49)*(AB49+AB50)</f>
        <v>0</v>
      </c>
      <c r="AD49" s="31">
        <f>VLOOKUP(Y49,'Hazard Weighting Functions'!$B$5:$G$1205,5,FALSE)</f>
        <v>0</v>
      </c>
      <c r="AE49" s="31">
        <f>AD49*Z49</f>
        <v>0</v>
      </c>
      <c r="AF49" s="31">
        <f>0.5*(Y50-Y49)*(AE49+AE50)</f>
        <v>0</v>
      </c>
      <c r="AH49" s="1">
        <f t="shared" si="1"/>
        <v>340</v>
      </c>
      <c r="AI49" s="1">
        <f t="shared" si="2"/>
        <v>0.16623608701121625</v>
      </c>
      <c r="AJ49" s="31">
        <f>VLOOKUP(AH49,'Hazard Weighting Functions'!$B$5:$G$1205,3,FALSE)</f>
        <v>0.01</v>
      </c>
      <c r="AK49" s="31">
        <f t="shared" si="5"/>
        <v>1.6623608701121625E-3</v>
      </c>
      <c r="AL49" s="31">
        <f t="shared" si="6"/>
        <v>3.2032032277170084E-3</v>
      </c>
      <c r="AM49" s="32">
        <f>VLOOKUP(AH49,'Hazard Weighting Functions'!$B$5:$G$1205,5,FALSE)</f>
        <v>0</v>
      </c>
      <c r="AN49" s="32">
        <f>AM49*AI49</f>
        <v>0</v>
      </c>
      <c r="AO49" s="32">
        <f>0.5*(AH50-AH49)*(AN49+AN50)</f>
        <v>0</v>
      </c>
    </row>
    <row r="50" spans="2:41">
      <c r="B50" s="32">
        <v>342</v>
      </c>
      <c r="C50" s="36"/>
      <c r="E50" s="32">
        <v>342</v>
      </c>
      <c r="F50" s="36">
        <v>0.15408423576048458</v>
      </c>
      <c r="Y50" s="32">
        <f t="shared" si="3"/>
        <v>342</v>
      </c>
      <c r="Z50" s="32">
        <f t="shared" si="4"/>
        <v>0</v>
      </c>
      <c r="AA50" s="31">
        <f>VLOOKUP(Y50,'Hazard Weighting Functions'!$B$5:$G$1205,3,FALSE)</f>
        <v>0.01</v>
      </c>
      <c r="AB50" s="31">
        <f>AA50*Z50</f>
        <v>0</v>
      </c>
      <c r="AC50" s="31">
        <f>0.5*(Y51-Y50)*(AB50+AB51)</f>
        <v>0</v>
      </c>
      <c r="AD50" s="31">
        <f>VLOOKUP(Y50,'Hazard Weighting Functions'!$B$5:$G$1205,5,FALSE)</f>
        <v>0</v>
      </c>
      <c r="AE50" s="31">
        <f>AD50*Z50</f>
        <v>0</v>
      </c>
      <c r="AF50" s="31">
        <f>0.5*(Y51-Y50)*(AE50+AE51)</f>
        <v>0</v>
      </c>
      <c r="AH50" s="1">
        <f t="shared" si="1"/>
        <v>342</v>
      </c>
      <c r="AI50" s="1">
        <f t="shared" si="2"/>
        <v>0.15408423576048458</v>
      </c>
      <c r="AJ50" s="31">
        <f>VLOOKUP(AH50,'Hazard Weighting Functions'!$B$5:$G$1205,3,FALSE)</f>
        <v>0.01</v>
      </c>
      <c r="AK50" s="31">
        <f t="shared" si="5"/>
        <v>1.5408423576048459E-3</v>
      </c>
      <c r="AL50" s="31">
        <f t="shared" si="6"/>
        <v>3.05516038417357E-3</v>
      </c>
      <c r="AM50" s="32">
        <f>VLOOKUP(AH50,'Hazard Weighting Functions'!$B$5:$G$1205,5,FALSE)</f>
        <v>0</v>
      </c>
      <c r="AN50" s="32">
        <f>AM50*AI50</f>
        <v>0</v>
      </c>
      <c r="AO50" s="32">
        <f>0.5*(AH51-AH50)*(AN50+AN51)</f>
        <v>0</v>
      </c>
    </row>
    <row r="51" spans="2:41">
      <c r="B51" s="32">
        <v>344</v>
      </c>
      <c r="C51" s="36"/>
      <c r="E51" s="32">
        <v>344</v>
      </c>
      <c r="F51" s="36">
        <v>0.15143180265687242</v>
      </c>
      <c r="Y51" s="32">
        <f t="shared" si="3"/>
        <v>344</v>
      </c>
      <c r="Z51" s="32">
        <f t="shared" si="4"/>
        <v>0</v>
      </c>
      <c r="AA51" s="31">
        <f>VLOOKUP(Y51,'Hazard Weighting Functions'!$B$5:$G$1205,3,FALSE)</f>
        <v>0.01</v>
      </c>
      <c r="AB51" s="31">
        <f>AA51*Z51</f>
        <v>0</v>
      </c>
      <c r="AC51" s="31">
        <f>0.5*(Y52-Y51)*(AB51+AB52)</f>
        <v>0</v>
      </c>
      <c r="AD51" s="31">
        <f>VLOOKUP(Y51,'Hazard Weighting Functions'!$B$5:$G$1205,5,FALSE)</f>
        <v>0</v>
      </c>
      <c r="AE51" s="31">
        <f>AD51*Z51</f>
        <v>0</v>
      </c>
      <c r="AF51" s="31">
        <f>0.5*(Y52-Y51)*(AE51+AE52)</f>
        <v>0</v>
      </c>
      <c r="AH51" s="1">
        <f t="shared" si="1"/>
        <v>344</v>
      </c>
      <c r="AI51" s="1">
        <f t="shared" si="2"/>
        <v>0.15143180265687242</v>
      </c>
      <c r="AJ51" s="31">
        <f>VLOOKUP(AH51,'Hazard Weighting Functions'!$B$5:$G$1205,3,FALSE)</f>
        <v>0.01</v>
      </c>
      <c r="AK51" s="31">
        <f t="shared" si="5"/>
        <v>1.5143180265687242E-3</v>
      </c>
      <c r="AL51" s="31">
        <f t="shared" si="6"/>
        <v>2.9265385935912467E-3</v>
      </c>
      <c r="AM51" s="32">
        <f>VLOOKUP(AH51,'Hazard Weighting Functions'!$B$5:$G$1205,5,FALSE)</f>
        <v>0</v>
      </c>
      <c r="AN51" s="32">
        <f>AM51*AI51</f>
        <v>0</v>
      </c>
      <c r="AO51" s="32">
        <f>0.5*(AH52-AH51)*(AN51+AN52)</f>
        <v>0</v>
      </c>
    </row>
    <row r="52" spans="2:41">
      <c r="B52" s="32">
        <v>346</v>
      </c>
      <c r="C52" s="36"/>
      <c r="E52" s="32">
        <v>346</v>
      </c>
      <c r="F52" s="36">
        <v>0.14122205670225227</v>
      </c>
      <c r="Y52" s="32">
        <f t="shared" si="3"/>
        <v>346</v>
      </c>
      <c r="Z52" s="32">
        <f t="shared" si="4"/>
        <v>0</v>
      </c>
      <c r="AA52" s="31">
        <f>VLOOKUP(Y52,'Hazard Weighting Functions'!$B$5:$G$1205,3,FALSE)</f>
        <v>0.01</v>
      </c>
      <c r="AB52" s="31">
        <f>AA52*Z52</f>
        <v>0</v>
      </c>
      <c r="AC52" s="31">
        <f>0.5*(Y53-Y52)*(AB52+AB53)</f>
        <v>0</v>
      </c>
      <c r="AD52" s="31">
        <f>VLOOKUP(Y52,'Hazard Weighting Functions'!$B$5:$G$1205,5,FALSE)</f>
        <v>0</v>
      </c>
      <c r="AE52" s="31">
        <f>AD52*Z52</f>
        <v>0</v>
      </c>
      <c r="AF52" s="31">
        <f>0.5*(Y53-Y52)*(AE52+AE53)</f>
        <v>0</v>
      </c>
      <c r="AH52" s="1">
        <f t="shared" si="1"/>
        <v>346</v>
      </c>
      <c r="AI52" s="1">
        <f t="shared" si="2"/>
        <v>0.14122205670225227</v>
      </c>
      <c r="AJ52" s="31">
        <f>VLOOKUP(AH52,'Hazard Weighting Functions'!$B$5:$G$1205,3,FALSE)</f>
        <v>0.01</v>
      </c>
      <c r="AK52" s="31">
        <f t="shared" si="5"/>
        <v>1.4122205670225227E-3</v>
      </c>
      <c r="AL52" s="31">
        <f t="shared" si="6"/>
        <v>2.7915282859078722E-3</v>
      </c>
      <c r="AM52" s="32">
        <f>VLOOKUP(AH52,'Hazard Weighting Functions'!$B$5:$G$1205,5,FALSE)</f>
        <v>0</v>
      </c>
      <c r="AN52" s="32">
        <f>AM52*AI52</f>
        <v>0</v>
      </c>
      <c r="AO52" s="32">
        <f>0.5*(AH53-AH52)*(AN52+AN53)</f>
        <v>0</v>
      </c>
    </row>
    <row r="53" spans="2:41">
      <c r="B53" s="32">
        <v>348</v>
      </c>
      <c r="C53" s="36"/>
      <c r="E53" s="32">
        <v>348</v>
      </c>
      <c r="F53" s="36">
        <v>0.13793077188853495</v>
      </c>
      <c r="Y53" s="32">
        <f t="shared" si="3"/>
        <v>348</v>
      </c>
      <c r="Z53" s="32">
        <f t="shared" si="4"/>
        <v>0</v>
      </c>
      <c r="AA53" s="31">
        <f>VLOOKUP(Y53,'Hazard Weighting Functions'!$B$5:$G$1205,3,FALSE)</f>
        <v>0.01</v>
      </c>
      <c r="AB53" s="31">
        <f>AA53*Z53</f>
        <v>0</v>
      </c>
      <c r="AC53" s="31">
        <f>0.5*(Y54-Y53)*(AB53+AB54)</f>
        <v>0</v>
      </c>
      <c r="AD53" s="31">
        <f>VLOOKUP(Y53,'Hazard Weighting Functions'!$B$5:$G$1205,5,FALSE)</f>
        <v>0</v>
      </c>
      <c r="AE53" s="31">
        <f>AD53*Z53</f>
        <v>0</v>
      </c>
      <c r="AF53" s="31">
        <f>0.5*(Y54-Y53)*(AE53+AE54)</f>
        <v>0</v>
      </c>
      <c r="AH53" s="1">
        <f t="shared" si="1"/>
        <v>348</v>
      </c>
      <c r="AI53" s="1">
        <f t="shared" si="2"/>
        <v>0.13793077188853495</v>
      </c>
      <c r="AJ53" s="31">
        <f>VLOOKUP(AH53,'Hazard Weighting Functions'!$B$5:$G$1205,3,FALSE)</f>
        <v>0.01</v>
      </c>
      <c r="AK53" s="31">
        <f t="shared" si="5"/>
        <v>1.3793077188853494E-3</v>
      </c>
      <c r="AL53" s="31">
        <f t="shared" si="6"/>
        <v>2.6007427625306632E-3</v>
      </c>
      <c r="AM53" s="32">
        <f>VLOOKUP(AH53,'Hazard Weighting Functions'!$B$5:$G$1205,5,FALSE)</f>
        <v>0</v>
      </c>
      <c r="AN53" s="32">
        <f>AM53*AI53</f>
        <v>0</v>
      </c>
      <c r="AO53" s="32">
        <f>0.5*(AH54-AH53)*(AN53+AN54)</f>
        <v>0</v>
      </c>
    </row>
    <row r="54" spans="2:41">
      <c r="B54" s="32">
        <v>350</v>
      </c>
      <c r="C54" s="36"/>
      <c r="E54" s="32">
        <v>350</v>
      </c>
      <c r="F54" s="36">
        <v>0.12214350436453138</v>
      </c>
      <c r="Y54" s="32">
        <f t="shared" si="3"/>
        <v>350</v>
      </c>
      <c r="Z54" s="32">
        <f t="shared" si="4"/>
        <v>0</v>
      </c>
      <c r="AA54" s="31">
        <f>VLOOKUP(Y54,'Hazard Weighting Functions'!$B$5:$G$1205,3,FALSE)</f>
        <v>0.01</v>
      </c>
      <c r="AB54" s="31">
        <f>AA54*Z54</f>
        <v>0</v>
      </c>
      <c r="AC54" s="31">
        <f>0.5*(Y55-Y54)*(AB54+AB55)</f>
        <v>0</v>
      </c>
      <c r="AD54" s="31">
        <f>VLOOKUP(Y54,'Hazard Weighting Functions'!$B$5:$G$1205,5,FALSE)</f>
        <v>0</v>
      </c>
      <c r="AE54" s="31">
        <f>AD54*Z54</f>
        <v>0</v>
      </c>
      <c r="AF54" s="31">
        <f>0.5*(Y55-Y54)*(AE54+AE55)</f>
        <v>0</v>
      </c>
      <c r="AH54" s="1">
        <f t="shared" si="1"/>
        <v>350</v>
      </c>
      <c r="AI54" s="1">
        <f t="shared" si="2"/>
        <v>0.12214350436453138</v>
      </c>
      <c r="AJ54" s="31">
        <f>VLOOKUP(AH54,'Hazard Weighting Functions'!$B$5:$G$1205,3,FALSE)</f>
        <v>0.01</v>
      </c>
      <c r="AK54" s="31">
        <f t="shared" si="5"/>
        <v>1.2214350436453138E-3</v>
      </c>
      <c r="AL54" s="31">
        <f t="shared" si="6"/>
        <v>2.2413529834580375E-3</v>
      </c>
      <c r="AM54" s="32">
        <f>VLOOKUP(AH54,'Hazard Weighting Functions'!$B$5:$G$1205,5,FALSE)</f>
        <v>0</v>
      </c>
      <c r="AN54" s="32">
        <f>AM54*AI54</f>
        <v>0</v>
      </c>
      <c r="AO54" s="32">
        <f>0.5*(AH55-AH54)*(AN54+AN55)</f>
        <v>0</v>
      </c>
    </row>
    <row r="55" spans="2:41">
      <c r="B55" s="32">
        <v>352</v>
      </c>
      <c r="C55" s="36"/>
      <c r="E55" s="32">
        <v>352</v>
      </c>
      <c r="F55" s="36">
        <v>0.10199179398127239</v>
      </c>
      <c r="Y55" s="32">
        <f t="shared" si="3"/>
        <v>352</v>
      </c>
      <c r="Z55" s="32">
        <f t="shared" si="4"/>
        <v>0</v>
      </c>
      <c r="AA55" s="31">
        <f>VLOOKUP(Y55,'Hazard Weighting Functions'!$B$5:$G$1205,3,FALSE)</f>
        <v>0.01</v>
      </c>
      <c r="AB55" s="31">
        <f>AA55*Z55</f>
        <v>0</v>
      </c>
      <c r="AC55" s="31">
        <f>0.5*(Y56-Y55)*(AB55+AB56)</f>
        <v>0</v>
      </c>
      <c r="AD55" s="31">
        <f>VLOOKUP(Y55,'Hazard Weighting Functions'!$B$5:$G$1205,5,FALSE)</f>
        <v>0</v>
      </c>
      <c r="AE55" s="31">
        <f>AD55*Z55</f>
        <v>0</v>
      </c>
      <c r="AF55" s="31">
        <f>0.5*(Y56-Y55)*(AE55+AE56)</f>
        <v>0</v>
      </c>
      <c r="AH55" s="1">
        <f t="shared" si="1"/>
        <v>352</v>
      </c>
      <c r="AI55" s="1">
        <f t="shared" si="2"/>
        <v>0.10199179398127239</v>
      </c>
      <c r="AJ55" s="31">
        <f>VLOOKUP(AH55,'Hazard Weighting Functions'!$B$5:$G$1205,3,FALSE)</f>
        <v>0.01</v>
      </c>
      <c r="AK55" s="31">
        <f t="shared" si="5"/>
        <v>1.0199179398127239E-3</v>
      </c>
      <c r="AL55" s="31">
        <f t="shared" si="6"/>
        <v>1.9570970234206119E-3</v>
      </c>
      <c r="AM55" s="32">
        <f>VLOOKUP(AH55,'Hazard Weighting Functions'!$B$5:$G$1205,5,FALSE)</f>
        <v>0</v>
      </c>
      <c r="AN55" s="32">
        <f>AM55*AI55</f>
        <v>0</v>
      </c>
      <c r="AO55" s="32">
        <f>0.5*(AH56-AH55)*(AN55+AN56)</f>
        <v>0</v>
      </c>
    </row>
    <row r="56" spans="2:41">
      <c r="B56" s="32">
        <v>354</v>
      </c>
      <c r="C56" s="36"/>
      <c r="E56" s="32">
        <v>354</v>
      </c>
      <c r="F56" s="36">
        <v>9.371790836078879E-2</v>
      </c>
      <c r="Y56" s="32">
        <f t="shared" si="3"/>
        <v>354</v>
      </c>
      <c r="Z56" s="32">
        <f t="shared" si="4"/>
        <v>0</v>
      </c>
      <c r="AA56" s="31">
        <f>VLOOKUP(Y56,'Hazard Weighting Functions'!$B$5:$G$1205,3,FALSE)</f>
        <v>0.01</v>
      </c>
      <c r="AB56" s="31">
        <f>AA56*Z56</f>
        <v>0</v>
      </c>
      <c r="AC56" s="31">
        <f>0.5*(Y57-Y56)*(AB56+AB57)</f>
        <v>0</v>
      </c>
      <c r="AD56" s="31">
        <f>VLOOKUP(Y56,'Hazard Weighting Functions'!$B$5:$G$1205,5,FALSE)</f>
        <v>0</v>
      </c>
      <c r="AE56" s="31">
        <f>AD56*Z56</f>
        <v>0</v>
      </c>
      <c r="AF56" s="31">
        <f>0.5*(Y57-Y56)*(AE56+AE57)</f>
        <v>0</v>
      </c>
      <c r="AH56" s="1">
        <f t="shared" si="1"/>
        <v>354</v>
      </c>
      <c r="AI56" s="1">
        <f t="shared" si="2"/>
        <v>9.371790836078879E-2</v>
      </c>
      <c r="AJ56" s="31">
        <f>VLOOKUP(AH56,'Hazard Weighting Functions'!$B$5:$G$1205,3,FALSE)</f>
        <v>0.01</v>
      </c>
      <c r="AK56" s="31">
        <f t="shared" si="5"/>
        <v>9.3717908360788787E-4</v>
      </c>
      <c r="AL56" s="31">
        <f t="shared" si="6"/>
        <v>1.7858162578526229E-3</v>
      </c>
      <c r="AM56" s="32">
        <f>VLOOKUP(AH56,'Hazard Weighting Functions'!$B$5:$G$1205,5,FALSE)</f>
        <v>0</v>
      </c>
      <c r="AN56" s="32">
        <f>AM56*AI56</f>
        <v>0</v>
      </c>
      <c r="AO56" s="32">
        <f>0.5*(AH57-AH56)*(AN56+AN57)</f>
        <v>0</v>
      </c>
    </row>
    <row r="57" spans="2:41">
      <c r="B57" s="32">
        <v>356</v>
      </c>
      <c r="C57" s="36"/>
      <c r="E57" s="32">
        <v>356</v>
      </c>
      <c r="F57" s="36">
        <v>8.4863717424473489E-2</v>
      </c>
      <c r="Y57" s="32">
        <f t="shared" si="3"/>
        <v>356</v>
      </c>
      <c r="Z57" s="32">
        <f t="shared" si="4"/>
        <v>0</v>
      </c>
      <c r="AA57" s="31">
        <f>VLOOKUP(Y57,'Hazard Weighting Functions'!$B$5:$G$1205,3,FALSE)</f>
        <v>0.01</v>
      </c>
      <c r="AB57" s="31">
        <f>AA57*Z57</f>
        <v>0</v>
      </c>
      <c r="AC57" s="31">
        <f>0.5*(Y58-Y57)*(AB57+AB58)</f>
        <v>0</v>
      </c>
      <c r="AD57" s="31">
        <f>VLOOKUP(Y57,'Hazard Weighting Functions'!$B$5:$G$1205,5,FALSE)</f>
        <v>0</v>
      </c>
      <c r="AE57" s="31">
        <f>AD57*Z57</f>
        <v>0</v>
      </c>
      <c r="AF57" s="31">
        <f>0.5*(Y58-Y57)*(AE57+AE58)</f>
        <v>0</v>
      </c>
      <c r="AH57" s="1">
        <f t="shared" si="1"/>
        <v>356</v>
      </c>
      <c r="AI57" s="1">
        <f t="shared" si="2"/>
        <v>8.4863717424473489E-2</v>
      </c>
      <c r="AJ57" s="31">
        <f>VLOOKUP(AH57,'Hazard Weighting Functions'!$B$5:$G$1205,3,FALSE)</f>
        <v>0.01</v>
      </c>
      <c r="AK57" s="31">
        <f t="shared" si="5"/>
        <v>8.4863717424473492E-4</v>
      </c>
      <c r="AL57" s="31">
        <f t="shared" si="6"/>
        <v>1.6332606043262142E-3</v>
      </c>
      <c r="AM57" s="32">
        <f>VLOOKUP(AH57,'Hazard Weighting Functions'!$B$5:$G$1205,5,FALSE)</f>
        <v>0</v>
      </c>
      <c r="AN57" s="32">
        <f>AM57*AI57</f>
        <v>0</v>
      </c>
      <c r="AO57" s="32">
        <f>0.5*(AH58-AH57)*(AN57+AN58)</f>
        <v>0</v>
      </c>
    </row>
    <row r="58" spans="2:41">
      <c r="B58" s="32">
        <v>358</v>
      </c>
      <c r="C58" s="36"/>
      <c r="E58" s="32">
        <v>358</v>
      </c>
      <c r="F58" s="36">
        <v>7.8462343008147917E-2</v>
      </c>
      <c r="Y58" s="32">
        <f t="shared" si="3"/>
        <v>358</v>
      </c>
      <c r="Z58" s="32">
        <f t="shared" si="4"/>
        <v>0</v>
      </c>
      <c r="AA58" s="31">
        <f>VLOOKUP(Y58,'Hazard Weighting Functions'!$B$5:$G$1205,3,FALSE)</f>
        <v>0.01</v>
      </c>
      <c r="AB58" s="31">
        <f>AA58*Z58</f>
        <v>0</v>
      </c>
      <c r="AC58" s="31">
        <f>0.5*(Y59-Y58)*(AB58+AB59)</f>
        <v>0</v>
      </c>
      <c r="AD58" s="31">
        <f>VLOOKUP(Y58,'Hazard Weighting Functions'!$B$5:$G$1205,5,FALSE)</f>
        <v>0</v>
      </c>
      <c r="AE58" s="31">
        <f>AD58*Z58</f>
        <v>0</v>
      </c>
      <c r="AF58" s="31">
        <f>0.5*(Y59-Y58)*(AE58+AE59)</f>
        <v>0</v>
      </c>
      <c r="AH58" s="1">
        <f t="shared" si="1"/>
        <v>358</v>
      </c>
      <c r="AI58" s="1">
        <f t="shared" si="2"/>
        <v>7.8462343008147917E-2</v>
      </c>
      <c r="AJ58" s="31">
        <f>VLOOKUP(AH58,'Hazard Weighting Functions'!$B$5:$G$1205,3,FALSE)</f>
        <v>0.01</v>
      </c>
      <c r="AK58" s="31">
        <f t="shared" si="5"/>
        <v>7.8462343008147914E-4</v>
      </c>
      <c r="AL58" s="31">
        <f t="shared" si="6"/>
        <v>1.5095134135167851E-3</v>
      </c>
      <c r="AM58" s="32">
        <f>VLOOKUP(AH58,'Hazard Weighting Functions'!$B$5:$G$1205,5,FALSE)</f>
        <v>0</v>
      </c>
      <c r="AN58" s="32">
        <f>AM58*AI58</f>
        <v>0</v>
      </c>
      <c r="AO58" s="32">
        <f>0.5*(AH59-AH58)*(AN58+AN59)</f>
        <v>0</v>
      </c>
    </row>
    <row r="59" spans="2:41">
      <c r="B59" s="32">
        <v>360</v>
      </c>
      <c r="C59" s="36"/>
      <c r="E59" s="32">
        <v>360</v>
      </c>
      <c r="F59" s="36">
        <v>7.2488998343530606E-2</v>
      </c>
      <c r="Y59" s="32">
        <f t="shared" si="3"/>
        <v>360</v>
      </c>
      <c r="Z59" s="32">
        <f t="shared" si="4"/>
        <v>0</v>
      </c>
      <c r="AA59" s="31">
        <f>VLOOKUP(Y59,'Hazard Weighting Functions'!$B$5:$G$1205,3,FALSE)</f>
        <v>0.01</v>
      </c>
      <c r="AB59" s="31">
        <f>AA59*Z59</f>
        <v>0</v>
      </c>
      <c r="AC59" s="31">
        <f>0.5*(Y60-Y59)*(AB59+AB60)</f>
        <v>0</v>
      </c>
      <c r="AD59" s="31">
        <f>VLOOKUP(Y59,'Hazard Weighting Functions'!$B$5:$G$1205,5,FALSE)</f>
        <v>0</v>
      </c>
      <c r="AE59" s="31">
        <f>AD59*Z59</f>
        <v>0</v>
      </c>
      <c r="AF59" s="31">
        <f>0.5*(Y60-Y59)*(AE59+AE60)</f>
        <v>0</v>
      </c>
      <c r="AH59" s="1">
        <f t="shared" si="1"/>
        <v>360</v>
      </c>
      <c r="AI59" s="1">
        <f t="shared" si="2"/>
        <v>7.2488998343530606E-2</v>
      </c>
      <c r="AJ59" s="31">
        <f>VLOOKUP(AH59,'Hazard Weighting Functions'!$B$5:$G$1205,3,FALSE)</f>
        <v>0.01</v>
      </c>
      <c r="AK59" s="31">
        <f t="shared" si="5"/>
        <v>7.2488998343530611E-4</v>
      </c>
      <c r="AL59" s="31">
        <f t="shared" si="6"/>
        <v>1.3900271181644468E-3</v>
      </c>
      <c r="AM59" s="32">
        <f>VLOOKUP(AH59,'Hazard Weighting Functions'!$B$5:$G$1205,5,FALSE)</f>
        <v>0</v>
      </c>
      <c r="AN59" s="32">
        <f>AM59*AI59</f>
        <v>0</v>
      </c>
      <c r="AO59" s="32">
        <f>0.5*(AH60-AH59)*(AN59+AN60)</f>
        <v>0</v>
      </c>
    </row>
    <row r="60" spans="2:41">
      <c r="B60" s="32">
        <v>362</v>
      </c>
      <c r="C60" s="36"/>
      <c r="E60" s="32">
        <v>362</v>
      </c>
      <c r="F60" s="36">
        <v>6.6513713472914057E-2</v>
      </c>
      <c r="Y60" s="32">
        <f t="shared" si="3"/>
        <v>362</v>
      </c>
      <c r="Z60" s="32">
        <f t="shared" si="4"/>
        <v>0</v>
      </c>
      <c r="AA60" s="31">
        <f>VLOOKUP(Y60,'Hazard Weighting Functions'!$B$5:$G$1205,3,FALSE)</f>
        <v>0.01</v>
      </c>
      <c r="AB60" s="31">
        <f>AA60*Z60</f>
        <v>0</v>
      </c>
      <c r="AC60" s="31">
        <f>0.5*(Y61-Y60)*(AB60+AB61)</f>
        <v>0</v>
      </c>
      <c r="AD60" s="31">
        <f>VLOOKUP(Y60,'Hazard Weighting Functions'!$B$5:$G$1205,5,FALSE)</f>
        <v>0</v>
      </c>
      <c r="AE60" s="31">
        <f>AD60*Z60</f>
        <v>0</v>
      </c>
      <c r="AF60" s="31">
        <f>0.5*(Y61-Y60)*(AE60+AE61)</f>
        <v>0</v>
      </c>
      <c r="AH60" s="1">
        <f t="shared" si="1"/>
        <v>362</v>
      </c>
      <c r="AI60" s="1">
        <f t="shared" si="2"/>
        <v>6.6513713472914057E-2</v>
      </c>
      <c r="AJ60" s="31">
        <f>VLOOKUP(AH60,'Hazard Weighting Functions'!$B$5:$G$1205,3,FALSE)</f>
        <v>0.01</v>
      </c>
      <c r="AK60" s="31">
        <f t="shared" si="5"/>
        <v>6.651371347291406E-4</v>
      </c>
      <c r="AL60" s="31">
        <f t="shared" si="6"/>
        <v>1.3418527003344045E-3</v>
      </c>
      <c r="AM60" s="32">
        <f>VLOOKUP(AH60,'Hazard Weighting Functions'!$B$5:$G$1205,5,FALSE)</f>
        <v>0</v>
      </c>
      <c r="AN60" s="32">
        <f>AM60*AI60</f>
        <v>0</v>
      </c>
      <c r="AO60" s="32">
        <f>0.5*(AH61-AH60)*(AN60+AN61)</f>
        <v>0</v>
      </c>
    </row>
    <row r="61" spans="2:41">
      <c r="B61" s="32">
        <v>364</v>
      </c>
      <c r="C61" s="36"/>
      <c r="E61" s="32">
        <v>364</v>
      </c>
      <c r="F61" s="36">
        <v>6.7671556560526397E-2</v>
      </c>
      <c r="Y61" s="32">
        <f t="shared" si="3"/>
        <v>364</v>
      </c>
      <c r="Z61" s="32">
        <f t="shared" si="4"/>
        <v>0</v>
      </c>
      <c r="AA61" s="31">
        <f>VLOOKUP(Y61,'Hazard Weighting Functions'!$B$5:$G$1205,3,FALSE)</f>
        <v>0.01</v>
      </c>
      <c r="AB61" s="31">
        <f>AA61*Z61</f>
        <v>0</v>
      </c>
      <c r="AC61" s="31">
        <f>0.5*(Y62-Y61)*(AB61+AB62)</f>
        <v>0</v>
      </c>
      <c r="AD61" s="31">
        <f>VLOOKUP(Y61,'Hazard Weighting Functions'!$B$5:$G$1205,5,FALSE)</f>
        <v>0</v>
      </c>
      <c r="AE61" s="31">
        <f>AD61*Z61</f>
        <v>0</v>
      </c>
      <c r="AF61" s="31">
        <f>0.5*(Y62-Y61)*(AE61+AE62)</f>
        <v>0</v>
      </c>
      <c r="AH61" s="1">
        <f t="shared" si="1"/>
        <v>364</v>
      </c>
      <c r="AI61" s="1">
        <f t="shared" si="2"/>
        <v>6.7671556560526397E-2</v>
      </c>
      <c r="AJ61" s="31">
        <f>VLOOKUP(AH61,'Hazard Weighting Functions'!$B$5:$G$1205,3,FALSE)</f>
        <v>0.01</v>
      </c>
      <c r="AK61" s="31">
        <f t="shared" si="5"/>
        <v>6.7671556560526395E-4</v>
      </c>
      <c r="AL61" s="31">
        <f t="shared" si="6"/>
        <v>1.3759503567534271E-3</v>
      </c>
      <c r="AM61" s="32">
        <f>VLOOKUP(AH61,'Hazard Weighting Functions'!$B$5:$G$1205,5,FALSE)</f>
        <v>0</v>
      </c>
      <c r="AN61" s="32">
        <f>AM61*AI61</f>
        <v>0</v>
      </c>
      <c r="AO61" s="32">
        <f>0.5*(AH62-AH61)*(AN61+AN62)</f>
        <v>0</v>
      </c>
    </row>
    <row r="62" spans="2:41">
      <c r="B62" s="32">
        <v>366</v>
      </c>
      <c r="C62" s="36"/>
      <c r="E62" s="32">
        <v>366</v>
      </c>
      <c r="F62" s="36">
        <v>6.992347911481632E-2</v>
      </c>
      <c r="Y62" s="32">
        <f t="shared" si="3"/>
        <v>366</v>
      </c>
      <c r="Z62" s="32">
        <f t="shared" si="4"/>
        <v>0</v>
      </c>
      <c r="AA62" s="31">
        <f>VLOOKUP(Y62,'Hazard Weighting Functions'!$B$5:$G$1205,3,FALSE)</f>
        <v>0.01</v>
      </c>
      <c r="AB62" s="31">
        <f>AA62*Z62</f>
        <v>0</v>
      </c>
      <c r="AC62" s="31">
        <f>0.5*(Y63-Y62)*(AB62+AB63)</f>
        <v>0</v>
      </c>
      <c r="AD62" s="31">
        <f>VLOOKUP(Y62,'Hazard Weighting Functions'!$B$5:$G$1205,5,FALSE)</f>
        <v>0</v>
      </c>
      <c r="AE62" s="31">
        <f>AD62*Z62</f>
        <v>0</v>
      </c>
      <c r="AF62" s="31">
        <f>0.5*(Y63-Y62)*(AE62+AE63)</f>
        <v>0</v>
      </c>
      <c r="AH62" s="1">
        <f t="shared" si="1"/>
        <v>366</v>
      </c>
      <c r="AI62" s="1">
        <f t="shared" si="2"/>
        <v>6.992347911481632E-2</v>
      </c>
      <c r="AJ62" s="31">
        <f>VLOOKUP(AH62,'Hazard Weighting Functions'!$B$5:$G$1205,3,FALSE)</f>
        <v>0.01</v>
      </c>
      <c r="AK62" s="31">
        <f t="shared" si="5"/>
        <v>6.9923479114816322E-4</v>
      </c>
      <c r="AL62" s="31">
        <f t="shared" si="6"/>
        <v>1.2898767819946031E-3</v>
      </c>
      <c r="AM62" s="32">
        <f>VLOOKUP(AH62,'Hazard Weighting Functions'!$B$5:$G$1205,5,FALSE)</f>
        <v>0</v>
      </c>
      <c r="AN62" s="32">
        <f>AM62*AI62</f>
        <v>0</v>
      </c>
      <c r="AO62" s="32">
        <f>0.5*(AH63-AH62)*(AN62+AN63)</f>
        <v>0</v>
      </c>
    </row>
    <row r="63" spans="2:41">
      <c r="B63" s="32">
        <v>368</v>
      </c>
      <c r="C63" s="36"/>
      <c r="E63" s="32">
        <v>368</v>
      </c>
      <c r="F63" s="36">
        <v>5.9064199084643984E-2</v>
      </c>
      <c r="Y63" s="32">
        <f t="shared" si="3"/>
        <v>368</v>
      </c>
      <c r="Z63" s="32">
        <f t="shared" si="4"/>
        <v>0</v>
      </c>
      <c r="AA63" s="31">
        <f>VLOOKUP(Y63,'Hazard Weighting Functions'!$B$5:$G$1205,3,FALSE)</f>
        <v>0.01</v>
      </c>
      <c r="AB63" s="31">
        <f>AA63*Z63</f>
        <v>0</v>
      </c>
      <c r="AC63" s="31">
        <f>0.5*(Y64-Y63)*(AB63+AB64)</f>
        <v>0</v>
      </c>
      <c r="AD63" s="31">
        <f>VLOOKUP(Y63,'Hazard Weighting Functions'!$B$5:$G$1205,5,FALSE)</f>
        <v>0</v>
      </c>
      <c r="AE63" s="31">
        <f>AD63*Z63</f>
        <v>0</v>
      </c>
      <c r="AF63" s="31">
        <f>0.5*(Y64-Y63)*(AE63+AE64)</f>
        <v>0</v>
      </c>
      <c r="AH63" s="1">
        <f t="shared" si="1"/>
        <v>368</v>
      </c>
      <c r="AI63" s="1">
        <f t="shared" si="2"/>
        <v>5.9064199084643984E-2</v>
      </c>
      <c r="AJ63" s="31">
        <f>VLOOKUP(AH63,'Hazard Weighting Functions'!$B$5:$G$1205,3,FALSE)</f>
        <v>0.01</v>
      </c>
      <c r="AK63" s="31">
        <f t="shared" si="5"/>
        <v>5.9064199084643988E-4</v>
      </c>
      <c r="AL63" s="31">
        <f t="shared" si="6"/>
        <v>1.2202061798302908E-3</v>
      </c>
      <c r="AM63" s="32">
        <f>VLOOKUP(AH63,'Hazard Weighting Functions'!$B$5:$G$1205,5,FALSE)</f>
        <v>0</v>
      </c>
      <c r="AN63" s="32">
        <f>AM63*AI63</f>
        <v>0</v>
      </c>
      <c r="AO63" s="32">
        <f>0.5*(AH64-AH63)*(AN63+AN64)</f>
        <v>0</v>
      </c>
    </row>
    <row r="64" spans="2:41">
      <c r="B64" s="32">
        <v>370</v>
      </c>
      <c r="C64" s="36"/>
      <c r="E64" s="32">
        <v>370</v>
      </c>
      <c r="F64" s="36">
        <v>6.2956418898385089E-2</v>
      </c>
      <c r="Y64" s="32">
        <f t="shared" si="3"/>
        <v>370</v>
      </c>
      <c r="Z64" s="32">
        <f t="shared" si="4"/>
        <v>0</v>
      </c>
      <c r="AA64" s="31">
        <f>VLOOKUP(Y64,'Hazard Weighting Functions'!$B$5:$G$1205,3,FALSE)</f>
        <v>0.01</v>
      </c>
      <c r="AB64" s="31">
        <f>AA64*Z64</f>
        <v>0</v>
      </c>
      <c r="AC64" s="31">
        <f>0.5*(Y65-Y64)*(AB64+AB65)</f>
        <v>0</v>
      </c>
      <c r="AD64" s="31">
        <f>VLOOKUP(Y64,'Hazard Weighting Functions'!$B$5:$G$1205,5,FALSE)</f>
        <v>0</v>
      </c>
      <c r="AE64" s="31">
        <f>AD64*Z64</f>
        <v>0</v>
      </c>
      <c r="AF64" s="31">
        <f>0.5*(Y65-Y64)*(AE64+AE65)</f>
        <v>0</v>
      </c>
      <c r="AH64" s="1">
        <f t="shared" si="1"/>
        <v>370</v>
      </c>
      <c r="AI64" s="1">
        <f t="shared" si="2"/>
        <v>6.2956418898385089E-2</v>
      </c>
      <c r="AJ64" s="31">
        <f>VLOOKUP(AH64,'Hazard Weighting Functions'!$B$5:$G$1205,3,FALSE)</f>
        <v>0.01</v>
      </c>
      <c r="AK64" s="31">
        <f t="shared" si="5"/>
        <v>6.2956418898385091E-4</v>
      </c>
      <c r="AL64" s="31">
        <f t="shared" si="6"/>
        <v>1.4287627599721422E-3</v>
      </c>
      <c r="AM64" s="32">
        <f>VLOOKUP(AH64,'Hazard Weighting Functions'!$B$5:$G$1205,5,FALSE)</f>
        <v>0</v>
      </c>
      <c r="AN64" s="32">
        <f>AM64*AI64</f>
        <v>0</v>
      </c>
      <c r="AO64" s="32">
        <f>0.5*(AH65-AH64)*(AN64+AN65)</f>
        <v>0</v>
      </c>
    </row>
    <row r="65" spans="2:41">
      <c r="B65" s="32">
        <v>372</v>
      </c>
      <c r="C65" s="36"/>
      <c r="E65" s="32">
        <v>372</v>
      </c>
      <c r="F65" s="36">
        <v>7.9919857098829122E-2</v>
      </c>
      <c r="H65" s="1"/>
      <c r="I65" s="22"/>
      <c r="J65" s="1"/>
      <c r="K65" s="1"/>
      <c r="L65" s="22"/>
      <c r="M65" s="1"/>
      <c r="N65" s="1"/>
      <c r="O65" s="22"/>
      <c r="P65" s="32"/>
      <c r="Q65" s="1"/>
      <c r="R65" s="22"/>
      <c r="S65" s="1"/>
      <c r="T65" s="1"/>
      <c r="Y65" s="32">
        <f t="shared" si="3"/>
        <v>372</v>
      </c>
      <c r="Z65" s="32">
        <f t="shared" si="4"/>
        <v>0</v>
      </c>
      <c r="AA65" s="31">
        <f>VLOOKUP(Y65,'Hazard Weighting Functions'!$B$5:$G$1205,3,FALSE)</f>
        <v>0.01</v>
      </c>
      <c r="AB65" s="31">
        <f>AA65*Z65</f>
        <v>0</v>
      </c>
      <c r="AC65" s="31">
        <f>0.5*(Y66-Y65)*(AB65+AB66)</f>
        <v>0</v>
      </c>
      <c r="AD65" s="31">
        <f>VLOOKUP(Y65,'Hazard Weighting Functions'!$B$5:$G$1205,5,FALSE)</f>
        <v>0</v>
      </c>
      <c r="AE65" s="31">
        <f>AD65*Z65</f>
        <v>0</v>
      </c>
      <c r="AF65" s="31">
        <f>0.5*(Y66-Y65)*(AE65+AE66)</f>
        <v>0</v>
      </c>
      <c r="AH65" s="1">
        <f t="shared" si="1"/>
        <v>372</v>
      </c>
      <c r="AI65" s="1">
        <f t="shared" si="2"/>
        <v>7.9919857098829122E-2</v>
      </c>
      <c r="AJ65" s="31">
        <f>VLOOKUP(AH65,'Hazard Weighting Functions'!$B$5:$G$1205,3,FALSE)</f>
        <v>0.01</v>
      </c>
      <c r="AK65" s="31">
        <f t="shared" si="5"/>
        <v>7.9919857098829125E-4</v>
      </c>
      <c r="AL65" s="31">
        <f t="shared" si="6"/>
        <v>2.2938298847268003E-3</v>
      </c>
      <c r="AM65" s="32">
        <f>VLOOKUP(AH65,'Hazard Weighting Functions'!$B$5:$G$1205,5,FALSE)</f>
        <v>0</v>
      </c>
      <c r="AN65" s="32">
        <f>AM65*AI65</f>
        <v>0</v>
      </c>
      <c r="AO65" s="32">
        <f>0.5*(AH66-AH65)*(AN65+AN66)</f>
        <v>0</v>
      </c>
    </row>
    <row r="66" spans="2:41">
      <c r="B66" s="32">
        <v>374</v>
      </c>
      <c r="C66" s="36"/>
      <c r="E66" s="32">
        <v>374</v>
      </c>
      <c r="F66" s="36">
        <v>0.14946313137385089</v>
      </c>
      <c r="H66" s="1"/>
      <c r="I66" s="1"/>
      <c r="J66" s="1"/>
      <c r="K66" s="1"/>
      <c r="L66" s="1"/>
      <c r="M66" s="1"/>
      <c r="N66" s="1"/>
      <c r="O66" s="1"/>
      <c r="P66" s="32"/>
      <c r="Q66" s="1"/>
      <c r="R66" s="1"/>
      <c r="S66" s="1"/>
      <c r="T66" s="1"/>
      <c r="Y66" s="32">
        <f t="shared" si="3"/>
        <v>374</v>
      </c>
      <c r="Z66" s="32">
        <f t="shared" si="4"/>
        <v>0</v>
      </c>
      <c r="AA66" s="31">
        <f>VLOOKUP(Y66,'Hazard Weighting Functions'!$B$5:$G$1205,3,FALSE)</f>
        <v>0.01</v>
      </c>
      <c r="AB66" s="31">
        <f>AA66*Z66</f>
        <v>0</v>
      </c>
      <c r="AC66" s="31">
        <f>0.5*(Y67-Y66)*(AB66+AB67)</f>
        <v>0</v>
      </c>
      <c r="AD66" s="31">
        <f>VLOOKUP(Y66,'Hazard Weighting Functions'!$B$5:$G$1205,5,FALSE)</f>
        <v>0</v>
      </c>
      <c r="AE66" s="31">
        <f>AD66*Z66</f>
        <v>0</v>
      </c>
      <c r="AF66" s="31">
        <f>0.5*(Y67-Y66)*(AE66+AE67)</f>
        <v>0</v>
      </c>
      <c r="AH66" s="1">
        <f t="shared" si="1"/>
        <v>374</v>
      </c>
      <c r="AI66" s="1">
        <f t="shared" si="2"/>
        <v>0.14946313137385089</v>
      </c>
      <c r="AJ66" s="31">
        <f>VLOOKUP(AH66,'Hazard Weighting Functions'!$B$5:$G$1205,3,FALSE)</f>
        <v>0.01</v>
      </c>
      <c r="AK66" s="31">
        <f t="shared" si="5"/>
        <v>1.4946313137385089E-3</v>
      </c>
      <c r="AL66" s="31">
        <f t="shared" si="6"/>
        <v>5.7880914146546062E-3</v>
      </c>
      <c r="AM66" s="32">
        <f>VLOOKUP(AH66,'Hazard Weighting Functions'!$B$5:$G$1205,5,FALSE)</f>
        <v>0</v>
      </c>
      <c r="AN66" s="32">
        <f>AM66*AI66</f>
        <v>0</v>
      </c>
      <c r="AO66" s="32">
        <f>0.5*(AH67-AH66)*(AN66+AN67)</f>
        <v>0</v>
      </c>
    </row>
    <row r="67" spans="2:41">
      <c r="B67" s="32">
        <v>376</v>
      </c>
      <c r="C67" s="36"/>
      <c r="E67" s="32">
        <v>376</v>
      </c>
      <c r="F67" s="36">
        <v>0.42934601009160972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Y67" s="32">
        <f t="shared" si="3"/>
        <v>376</v>
      </c>
      <c r="Z67" s="32">
        <f t="shared" si="4"/>
        <v>0</v>
      </c>
      <c r="AA67" s="31">
        <f>VLOOKUP(Y67,'Hazard Weighting Functions'!$B$5:$G$1205,3,FALSE)</f>
        <v>0.01</v>
      </c>
      <c r="AB67" s="31">
        <f>AA67*Z67</f>
        <v>0</v>
      </c>
      <c r="AC67" s="31">
        <f>0.5*(Y68-Y67)*(AB67+AB68)</f>
        <v>0</v>
      </c>
      <c r="AD67" s="31">
        <f>VLOOKUP(Y67,'Hazard Weighting Functions'!$B$5:$G$1205,5,FALSE)</f>
        <v>0</v>
      </c>
      <c r="AE67" s="31">
        <f>AD67*Z67</f>
        <v>0</v>
      </c>
      <c r="AF67" s="31">
        <f>0.5*(Y68-Y67)*(AE67+AE68)</f>
        <v>0</v>
      </c>
      <c r="AH67" s="1">
        <f t="shared" si="1"/>
        <v>376</v>
      </c>
      <c r="AI67" s="1">
        <f t="shared" si="2"/>
        <v>0.42934601009160972</v>
      </c>
      <c r="AJ67" s="31">
        <f>VLOOKUP(AH67,'Hazard Weighting Functions'!$B$5:$G$1205,3,FALSE)</f>
        <v>0.01</v>
      </c>
      <c r="AK67" s="31">
        <f t="shared" si="5"/>
        <v>4.2934601009160973E-3</v>
      </c>
      <c r="AL67" s="31">
        <f t="shared" si="6"/>
        <v>1.4249100874319591E-2</v>
      </c>
      <c r="AM67" s="32">
        <f>VLOOKUP(AH67,'Hazard Weighting Functions'!$B$5:$G$1205,5,FALSE)</f>
        <v>0</v>
      </c>
      <c r="AN67" s="32">
        <f>AM67*AI67</f>
        <v>0</v>
      </c>
      <c r="AO67" s="32">
        <f>0.5*(AH68-AH67)*(AN67+AN68)</f>
        <v>0</v>
      </c>
    </row>
    <row r="68" spans="2:41">
      <c r="B68" s="32">
        <v>378</v>
      </c>
      <c r="C68" s="36"/>
      <c r="E68" s="32">
        <v>378</v>
      </c>
      <c r="F68" s="36">
        <v>0.99556407734034935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Y68" s="32">
        <f t="shared" si="3"/>
        <v>378</v>
      </c>
      <c r="Z68" s="32">
        <f t="shared" si="4"/>
        <v>0</v>
      </c>
      <c r="AA68" s="31">
        <f>VLOOKUP(Y68,'Hazard Weighting Functions'!$B$5:$G$1205,3,FALSE)</f>
        <v>0.01</v>
      </c>
      <c r="AB68" s="31">
        <f>AA68*Z68</f>
        <v>0</v>
      </c>
      <c r="AC68" s="31">
        <f>0.5*(Y69-Y68)*(AB68+AB69)</f>
        <v>0</v>
      </c>
      <c r="AD68" s="31">
        <f>VLOOKUP(Y68,'Hazard Weighting Functions'!$B$5:$G$1205,5,FALSE)</f>
        <v>0</v>
      </c>
      <c r="AE68" s="31">
        <f>AD68*Z68</f>
        <v>0</v>
      </c>
      <c r="AF68" s="31">
        <f>0.5*(Y69-Y68)*(AE68+AE69)</f>
        <v>0</v>
      </c>
      <c r="AH68" s="1">
        <f t="shared" si="1"/>
        <v>378</v>
      </c>
      <c r="AI68" s="1">
        <f t="shared" si="2"/>
        <v>0.99556407734034935</v>
      </c>
      <c r="AJ68" s="31">
        <f>VLOOKUP(AH68,'Hazard Weighting Functions'!$B$5:$G$1205,3,FALSE)</f>
        <v>0.01</v>
      </c>
      <c r="AK68" s="31">
        <f t="shared" si="5"/>
        <v>9.955640773403494E-3</v>
      </c>
      <c r="AL68" s="31">
        <f t="shared" si="6"/>
        <v>3.0988807944306362E-2</v>
      </c>
      <c r="AM68" s="32">
        <f>VLOOKUP(AH68,'Hazard Weighting Functions'!$B$5:$G$1205,5,FALSE)</f>
        <v>0</v>
      </c>
      <c r="AN68" s="32">
        <f>AM68*AI68</f>
        <v>0</v>
      </c>
      <c r="AO68" s="32">
        <f>0.5*(AH69-AH68)*(AN68+AN69)</f>
        <v>8.2029351966521192E-5</v>
      </c>
    </row>
    <row r="69" spans="2:41">
      <c r="B69" s="32">
        <v>380</v>
      </c>
      <c r="C69" s="36"/>
      <c r="E69" s="32">
        <v>380</v>
      </c>
      <c r="F69" s="36">
        <v>2.1033167170902871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Y69" s="32">
        <f t="shared" si="3"/>
        <v>380</v>
      </c>
      <c r="Z69" s="32">
        <f t="shared" si="4"/>
        <v>0</v>
      </c>
      <c r="AA69" s="31">
        <f>VLOOKUP(Y69,'Hazard Weighting Functions'!$B$5:$G$1205,3,FALSE)</f>
        <v>0.01</v>
      </c>
      <c r="AB69" s="31">
        <f>AA69*Z69</f>
        <v>0</v>
      </c>
      <c r="AC69" s="31">
        <f>0.5*(Y70-Y69)*(AB69+AB70)</f>
        <v>0</v>
      </c>
      <c r="AD69" s="31">
        <f>VLOOKUP(Y69,'Hazard Weighting Functions'!$B$5:$G$1205,5,FALSE)</f>
        <v>3.8999999999999999E-5</v>
      </c>
      <c r="AE69" s="31">
        <f>AD69*Z69</f>
        <v>0</v>
      </c>
      <c r="AF69" s="31">
        <f>0.5*(Y70-Y69)*(AE69+AE70)</f>
        <v>0</v>
      </c>
      <c r="AH69" s="1">
        <f t="shared" si="1"/>
        <v>380</v>
      </c>
      <c r="AI69" s="1">
        <f t="shared" si="2"/>
        <v>2.1033167170902871</v>
      </c>
      <c r="AJ69" s="31">
        <f>VLOOKUP(AH69,'Hazard Weighting Functions'!$B$5:$G$1205,3,FALSE)</f>
        <v>0.01</v>
      </c>
      <c r="AK69" s="31">
        <f t="shared" si="5"/>
        <v>2.103316717090287E-2</v>
      </c>
      <c r="AL69" s="31">
        <f t="shared" si="6"/>
        <v>7.2807679473583409E-2</v>
      </c>
      <c r="AM69" s="32">
        <f>VLOOKUP(AH69,'Hazard Weighting Functions'!$B$5:$G$1205,5,FALSE)</f>
        <v>3.8999999999999999E-5</v>
      </c>
      <c r="AN69" s="32">
        <f>AM69*AI69</f>
        <v>8.2029351966521192E-5</v>
      </c>
      <c r="AO69" s="32">
        <f>0.5*(AH70-AH69)*(AN69+AN70)</f>
        <v>3.0505625884227661E-4</v>
      </c>
    </row>
    <row r="70" spans="2:41">
      <c r="B70" s="32">
        <v>382</v>
      </c>
      <c r="C70" s="36"/>
      <c r="E70" s="32">
        <v>382</v>
      </c>
      <c r="F70" s="36">
        <v>4.6616394289616219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Y70" s="32">
        <f t="shared" si="3"/>
        <v>382</v>
      </c>
      <c r="Z70" s="32">
        <f t="shared" si="4"/>
        <v>0</v>
      </c>
      <c r="AA70" s="31">
        <f>VLOOKUP(Y70,'Hazard Weighting Functions'!$B$5:$G$1205,3,FALSE)</f>
        <v>1.1106503E-2</v>
      </c>
      <c r="AB70" s="31">
        <f>AA70*Z70</f>
        <v>0</v>
      </c>
      <c r="AC70" s="31">
        <f>0.5*(Y71-Y70)*(AB70+AB71)</f>
        <v>0</v>
      </c>
      <c r="AD70" s="31">
        <f>VLOOKUP(Y70,'Hazard Weighting Functions'!$B$5:$G$1205,5,FALSE)</f>
        <v>4.784301966603079E-5</v>
      </c>
      <c r="AE70" s="31">
        <f>AD70*Z70</f>
        <v>0</v>
      </c>
      <c r="AF70" s="31">
        <f>0.5*(Y71-Y70)*(AE70+AE71)</f>
        <v>0</v>
      </c>
      <c r="AH70" s="1">
        <f t="shared" si="1"/>
        <v>382</v>
      </c>
      <c r="AI70" s="1">
        <f t="shared" si="2"/>
        <v>4.6616394289616219</v>
      </c>
      <c r="AJ70" s="31">
        <f>VLOOKUP(AH70,'Hazard Weighting Functions'!$B$5:$G$1205,3,FALSE)</f>
        <v>1.1106503E-2</v>
      </c>
      <c r="AK70" s="31">
        <f t="shared" si="5"/>
        <v>5.1774512302680542E-2</v>
      </c>
      <c r="AL70" s="31">
        <f t="shared" si="6"/>
        <v>0.18137745682371206</v>
      </c>
      <c r="AM70" s="32">
        <f>VLOOKUP(AH70,'Hazard Weighting Functions'!$B$5:$G$1205,5,FALSE)</f>
        <v>4.784301966603079E-5</v>
      </c>
      <c r="AN70" s="32">
        <f>AM70*AI70</f>
        <v>2.2302690687575543E-4</v>
      </c>
      <c r="AO70" s="32">
        <f>0.5*(AH71-AH70)*(AN70+AN71)</f>
        <v>8.2670560654232955E-4</v>
      </c>
    </row>
    <row r="71" spans="2:41">
      <c r="B71" s="32">
        <v>384</v>
      </c>
      <c r="C71" s="36"/>
      <c r="E71" s="32">
        <v>384</v>
      </c>
      <c r="F71" s="36">
        <v>10.506551368615966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Y71" s="32">
        <f t="shared" si="3"/>
        <v>384</v>
      </c>
      <c r="Z71" s="32">
        <f t="shared" si="4"/>
        <v>0</v>
      </c>
      <c r="AA71" s="31">
        <f>VLOOKUP(Y71,'Hazard Weighting Functions'!$B$5:$G$1205,3,FALSE)</f>
        <v>1.2335441000000001E-2</v>
      </c>
      <c r="AB71" s="31">
        <f>AA71*Z71</f>
        <v>0</v>
      </c>
      <c r="AC71" s="31">
        <f>0.5*(Y72-Y71)*(AB71+AB72)</f>
        <v>0</v>
      </c>
      <c r="AD71" s="31">
        <f>VLOOKUP(Y71,'Hazard Weighting Functions'!$B$5:$G$1205,5,FALSE)</f>
        <v>5.7457359554707719E-5</v>
      </c>
      <c r="AE71" s="31">
        <f>AD71*Z71</f>
        <v>0</v>
      </c>
      <c r="AF71" s="31">
        <f>0.5*(Y72-Y71)*(AE71+AE72)</f>
        <v>0</v>
      </c>
      <c r="AH71" s="1">
        <f t="shared" si="1"/>
        <v>384</v>
      </c>
      <c r="AI71" s="1">
        <f t="shared" si="2"/>
        <v>10.506551368615966</v>
      </c>
      <c r="AJ71" s="31">
        <f>VLOOKUP(AH71,'Hazard Weighting Functions'!$B$5:$G$1205,3,FALSE)</f>
        <v>1.2335441000000001E-2</v>
      </c>
      <c r="AK71" s="31">
        <f t="shared" si="5"/>
        <v>0.12960294452103152</v>
      </c>
      <c r="AL71" s="31">
        <f t="shared" si="6"/>
        <v>0.46940345941866213</v>
      </c>
      <c r="AM71" s="32">
        <f>VLOOKUP(AH71,'Hazard Weighting Functions'!$B$5:$G$1205,5,FALSE)</f>
        <v>5.7457359554707719E-5</v>
      </c>
      <c r="AN71" s="32">
        <f>AM71*AI71</f>
        <v>6.036786996665741E-4</v>
      </c>
      <c r="AO71" s="32">
        <f>0.5*(AH72-AH71)*(AN71+AN72)</f>
        <v>2.2625760087872497E-3</v>
      </c>
    </row>
    <row r="72" spans="2:41">
      <c r="B72" s="32">
        <v>386</v>
      </c>
      <c r="C72" s="36"/>
      <c r="E72" s="32">
        <v>386</v>
      </c>
      <c r="F72" s="36">
        <v>22.934080808943509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Y72" s="32">
        <f t="shared" si="3"/>
        <v>386</v>
      </c>
      <c r="Z72" s="32">
        <f t="shared" si="4"/>
        <v>0</v>
      </c>
      <c r="AA72" s="31">
        <f>VLOOKUP(Y72,'Hazard Weighting Functions'!$B$5:$G$1205,3,FALSE)</f>
        <v>1.48164E-2</v>
      </c>
      <c r="AB72" s="31">
        <f>AA72*Z72</f>
        <v>0</v>
      </c>
      <c r="AC72" s="31">
        <f>0.5*(Y73-Y72)*(AB72+AB73)</f>
        <v>0</v>
      </c>
      <c r="AD72" s="31">
        <f>VLOOKUP(Y72,'Hazard Weighting Functions'!$B$5:$G$1205,5,FALSE)</f>
        <v>7.2333280890584555E-5</v>
      </c>
      <c r="AE72" s="31">
        <f>AD72*Z72</f>
        <v>0</v>
      </c>
      <c r="AF72" s="31">
        <f>0.5*(Y73-Y72)*(AE72+AE73)</f>
        <v>0</v>
      </c>
      <c r="AH72" s="1">
        <f t="shared" si="1"/>
        <v>386</v>
      </c>
      <c r="AI72" s="1">
        <f t="shared" si="2"/>
        <v>22.934080808943509</v>
      </c>
      <c r="AJ72" s="31">
        <f>VLOOKUP(AH72,'Hazard Weighting Functions'!$B$5:$G$1205,3,FALSE)</f>
        <v>1.48164E-2</v>
      </c>
      <c r="AK72" s="31">
        <f t="shared" si="5"/>
        <v>0.33980051489763063</v>
      </c>
      <c r="AL72" s="31">
        <f t="shared" si="6"/>
        <v>1.2459693337917597</v>
      </c>
      <c r="AM72" s="32">
        <f>VLOOKUP(AH72,'Hazard Weighting Functions'!$B$5:$G$1205,5,FALSE)</f>
        <v>7.2333280890584555E-5</v>
      </c>
      <c r="AN72" s="32">
        <f>AM72*AI72</f>
        <v>1.6588973091206756E-3</v>
      </c>
      <c r="AO72" s="32">
        <f>0.5*(AH73-AH72)*(AN72+AN73)</f>
        <v>6.0750779081077287E-3</v>
      </c>
    </row>
    <row r="73" spans="2:41">
      <c r="B73" s="32">
        <v>388</v>
      </c>
      <c r="C73" s="36"/>
      <c r="E73" s="32">
        <v>388</v>
      </c>
      <c r="F73" s="36">
        <v>47.083395496472008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Y73" s="32">
        <f t="shared" si="3"/>
        <v>388</v>
      </c>
      <c r="Z73" s="32">
        <f t="shared" si="4"/>
        <v>0</v>
      </c>
      <c r="AA73" s="31">
        <f>VLOOKUP(Y73,'Hazard Weighting Functions'!$B$5:$G$1205,3,FALSE)</f>
        <v>1.9246038E-2</v>
      </c>
      <c r="AB73" s="31">
        <f>AA73*Z73</f>
        <v>0</v>
      </c>
      <c r="AC73" s="31">
        <f>0.5*(Y74-Y73)*(AB73+AB74)</f>
        <v>0</v>
      </c>
      <c r="AD73" s="31">
        <f>VLOOKUP(Y73,'Hazard Weighting Functions'!$B$5:$G$1205,5,FALSE)</f>
        <v>9.3794862337784476E-5</v>
      </c>
      <c r="AE73" s="31">
        <f>AD73*Z73</f>
        <v>0</v>
      </c>
      <c r="AF73" s="31">
        <f>0.5*(Y74-Y73)*(AE73+AE74)</f>
        <v>0</v>
      </c>
      <c r="AH73" s="1">
        <f t="shared" si="1"/>
        <v>388</v>
      </c>
      <c r="AI73" s="1">
        <f t="shared" si="2"/>
        <v>47.083395496472008</v>
      </c>
      <c r="AJ73" s="31">
        <f>VLOOKUP(AH73,'Hazard Weighting Functions'!$B$5:$G$1205,3,FALSE)</f>
        <v>1.9246038E-2</v>
      </c>
      <c r="AK73" s="31">
        <f t="shared" si="5"/>
        <v>0.90616881889412915</v>
      </c>
      <c r="AL73" s="31">
        <f t="shared" si="6"/>
        <v>3.2335053613986715</v>
      </c>
      <c r="AM73" s="32">
        <f>VLOOKUP(AH73,'Hazard Weighting Functions'!$B$5:$G$1205,5,FALSE)</f>
        <v>9.3794862337784476E-5</v>
      </c>
      <c r="AN73" s="32">
        <f>AM73*AI73</f>
        <v>4.4161805989870531E-3</v>
      </c>
      <c r="AO73" s="32">
        <f>0.5*(AH74-AH73)*(AN73+AN74)</f>
        <v>1.5587396003008857E-2</v>
      </c>
    </row>
    <row r="74" spans="2:41">
      <c r="B74" s="32">
        <v>390</v>
      </c>
      <c r="C74" s="36"/>
      <c r="E74" s="32">
        <v>390</v>
      </c>
      <c r="F74" s="36">
        <v>93.093461700181692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Y74" s="32">
        <f t="shared" si="3"/>
        <v>390</v>
      </c>
      <c r="Z74" s="32">
        <f t="shared" si="4"/>
        <v>0</v>
      </c>
      <c r="AA74" s="31">
        <f>VLOOKUP(Y74,'Hazard Weighting Functions'!$B$5:$G$1205,3,FALSE)</f>
        <v>2.5000000000000001E-2</v>
      </c>
      <c r="AB74" s="31">
        <f>AA74*Z74</f>
        <v>0</v>
      </c>
      <c r="AC74" s="31">
        <f>0.5*(Y75-Y74)*(AB74+AB75)</f>
        <v>0</v>
      </c>
      <c r="AD74" s="31">
        <f>VLOOKUP(Y74,'Hazard Weighting Functions'!$B$5:$G$1205,5,FALSE)</f>
        <v>1.2E-4</v>
      </c>
      <c r="AE74" s="31">
        <f>AD74*Z74</f>
        <v>0</v>
      </c>
      <c r="AF74" s="31">
        <f>0.5*(Y75-Y74)*(AE74+AE75)</f>
        <v>0</v>
      </c>
      <c r="AH74" s="1">
        <f t="shared" si="1"/>
        <v>390</v>
      </c>
      <c r="AI74" s="1">
        <f t="shared" si="2"/>
        <v>93.093461700181692</v>
      </c>
      <c r="AJ74" s="31">
        <f>VLOOKUP(AH74,'Hazard Weighting Functions'!$B$5:$G$1205,3,FALSE)</f>
        <v>2.5000000000000001E-2</v>
      </c>
      <c r="AK74" s="31">
        <f t="shared" si="5"/>
        <v>2.3273365425045425</v>
      </c>
      <c r="AL74" s="31">
        <f t="shared" si="6"/>
        <v>8.0262180857126388</v>
      </c>
      <c r="AM74" s="32">
        <f>VLOOKUP(AH74,'Hazard Weighting Functions'!$B$5:$G$1205,5,FALSE)</f>
        <v>1.2E-4</v>
      </c>
      <c r="AN74" s="32">
        <f>AM74*AI74</f>
        <v>1.1171215404021804E-2</v>
      </c>
      <c r="AO74" s="32">
        <f>0.5*(AH75-AH74)*(AN74+AN75)</f>
        <v>3.7169087106216206E-2</v>
      </c>
    </row>
    <row r="75" spans="2:41">
      <c r="B75" s="32">
        <v>392</v>
      </c>
      <c r="C75" s="36"/>
      <c r="E75" s="32">
        <v>392</v>
      </c>
      <c r="F75" s="36">
        <v>172.75778210434984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Y75" s="32">
        <f t="shared" si="3"/>
        <v>392</v>
      </c>
      <c r="Z75" s="32">
        <f t="shared" si="4"/>
        <v>0</v>
      </c>
      <c r="AA75" s="31">
        <f>VLOOKUP(Y75,'Hazard Weighting Functions'!$B$5:$G$1205,3,FALSE)</f>
        <v>3.2987698000000003E-2</v>
      </c>
      <c r="AB75" s="31">
        <f>AA75*Z75</f>
        <v>0</v>
      </c>
      <c r="AC75" s="31">
        <f>0.5*(Y76-Y75)*(AB75+AB76)</f>
        <v>0</v>
      </c>
      <c r="AD75" s="31">
        <f>VLOOKUP(Y75,'Hazard Weighting Functions'!$B$5:$G$1205,5,FALSE)</f>
        <v>1.504874129866466E-4</v>
      </c>
      <c r="AE75" s="31">
        <f>AD75*Z75</f>
        <v>0</v>
      </c>
      <c r="AF75" s="31">
        <f>0.5*(Y76-Y75)*(AE75+AE76)</f>
        <v>0</v>
      </c>
      <c r="AH75" s="1">
        <f t="shared" si="1"/>
        <v>392</v>
      </c>
      <c r="AI75" s="1">
        <f t="shared" si="2"/>
        <v>172.75778210434984</v>
      </c>
      <c r="AJ75" s="31">
        <f>VLOOKUP(AH75,'Hazard Weighting Functions'!$B$5:$G$1205,3,FALSE)</f>
        <v>3.2987698000000003E-2</v>
      </c>
      <c r="AK75" s="31">
        <f t="shared" si="5"/>
        <v>5.6988815432080973</v>
      </c>
      <c r="AL75" s="31">
        <f t="shared" si="6"/>
        <v>19.092500302040655</v>
      </c>
      <c r="AM75" s="32">
        <f>VLOOKUP(AH75,'Hazard Weighting Functions'!$B$5:$G$1205,5,FALSE)</f>
        <v>1.504874129866466E-4</v>
      </c>
      <c r="AN75" s="32">
        <f>AM75*AI75</f>
        <v>2.5997871702194399E-2</v>
      </c>
      <c r="AO75" s="32">
        <f>0.5*(AH76-AH75)*(AN75+AN76)</f>
        <v>8.4729364623287173E-2</v>
      </c>
    </row>
    <row r="76" spans="2:41">
      <c r="B76" s="32">
        <v>394</v>
      </c>
      <c r="C76" s="36"/>
      <c r="E76" s="32">
        <v>394</v>
      </c>
      <c r="F76" s="36">
        <v>307.70455787961492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Y76" s="32">
        <f t="shared" si="3"/>
        <v>394</v>
      </c>
      <c r="Z76" s="32">
        <f t="shared" si="4"/>
        <v>0</v>
      </c>
      <c r="AA76" s="31">
        <f>VLOOKUP(Y76,'Hazard Weighting Functions'!$B$5:$G$1205,3,FALSE)</f>
        <v>4.3527528000000003E-2</v>
      </c>
      <c r="AB76" s="31">
        <f>AA76*Z76</f>
        <v>0</v>
      </c>
      <c r="AC76" s="31">
        <f>0.5*(Y77-Y76)*(AB76+AB77)</f>
        <v>0</v>
      </c>
      <c r="AD76" s="31">
        <f>VLOOKUP(Y76,'Hazard Weighting Functions'!$B$5:$G$1205,5,FALSE)</f>
        <v>1.908697528753235E-4</v>
      </c>
      <c r="AE76" s="31">
        <f>AD76*Z76</f>
        <v>0</v>
      </c>
      <c r="AF76" s="31">
        <f>0.5*(Y77-Y76)*(AE76+AE77)</f>
        <v>0</v>
      </c>
      <c r="AH76" s="1">
        <f t="shared" si="1"/>
        <v>394</v>
      </c>
      <c r="AI76" s="1">
        <f t="shared" si="2"/>
        <v>307.70455787961492</v>
      </c>
      <c r="AJ76" s="31">
        <f>VLOOKUP(AH76,'Hazard Weighting Functions'!$B$5:$G$1205,3,FALSE)</f>
        <v>4.3527528000000003E-2</v>
      </c>
      <c r="AK76" s="31">
        <f t="shared" si="5"/>
        <v>13.393618758832559</v>
      </c>
      <c r="AL76" s="31">
        <f t="shared" si="6"/>
        <v>43.687438184805558</v>
      </c>
      <c r="AM76" s="32">
        <f>VLOOKUP(AH76,'Hazard Weighting Functions'!$B$5:$G$1205,5,FALSE)</f>
        <v>1.908697528753235E-4</v>
      </c>
      <c r="AN76" s="32">
        <f>AM76*AI76</f>
        <v>5.8731492921092782E-2</v>
      </c>
      <c r="AO76" s="32">
        <f>0.5*(AH77-AH76)*(AN76+AN77)</f>
        <v>0.18948777547927112</v>
      </c>
    </row>
    <row r="77" spans="2:41">
      <c r="B77" s="32">
        <v>396</v>
      </c>
      <c r="C77" s="36"/>
      <c r="E77" s="32">
        <v>396</v>
      </c>
      <c r="F77" s="36">
        <v>527.44602901623364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Y77" s="32">
        <f t="shared" si="3"/>
        <v>396</v>
      </c>
      <c r="Z77" s="32">
        <f t="shared" si="4"/>
        <v>0</v>
      </c>
      <c r="AA77" s="31">
        <f>VLOOKUP(Y77,'Hazard Weighting Functions'!$B$5:$G$1205,3,FALSE)</f>
        <v>5.7434918000000001E-2</v>
      </c>
      <c r="AB77" s="31">
        <f>AA77*Z77</f>
        <v>0</v>
      </c>
      <c r="AC77" s="31">
        <f>0.5*(Y78-Y77)*(AB77+AB78)</f>
        <v>0</v>
      </c>
      <c r="AD77" s="31">
        <f>VLOOKUP(Y77,'Hazard Weighting Functions'!$B$5:$G$1205,5,FALSE)</f>
        <v>2.4790457291347612E-4</v>
      </c>
      <c r="AE77" s="31">
        <f>AD77*Z77</f>
        <v>0</v>
      </c>
      <c r="AF77" s="31">
        <f>0.5*(Y78-Y77)*(AE77+AE78)</f>
        <v>0</v>
      </c>
      <c r="AH77" s="1">
        <f t="shared" si="1"/>
        <v>396</v>
      </c>
      <c r="AI77" s="1">
        <f t="shared" si="2"/>
        <v>527.44602901623364</v>
      </c>
      <c r="AJ77" s="31">
        <f>VLOOKUP(AH77,'Hazard Weighting Functions'!$B$5:$G$1205,3,FALSE)</f>
        <v>5.7434918000000001E-2</v>
      </c>
      <c r="AK77" s="31">
        <f t="shared" si="5"/>
        <v>30.293819425973002</v>
      </c>
      <c r="AL77" s="31">
        <f t="shared" si="6"/>
        <v>97.37074149672776</v>
      </c>
      <c r="AM77" s="32">
        <f>VLOOKUP(AH77,'Hazard Weighting Functions'!$B$5:$G$1205,5,FALSE)</f>
        <v>2.4790457291347612E-4</v>
      </c>
      <c r="AN77" s="32">
        <f>AM77*AI77</f>
        <v>0.13075628255817834</v>
      </c>
      <c r="AO77" s="32">
        <f>0.5*(AH78-AH77)*(AN77+AN78)</f>
        <v>0.41376854878132779</v>
      </c>
    </row>
    <row r="78" spans="2:41">
      <c r="B78" s="32">
        <v>398</v>
      </c>
      <c r="C78" s="36"/>
      <c r="E78" s="32">
        <v>398</v>
      </c>
      <c r="F78" s="36">
        <v>885.08529682825088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Y78" s="32">
        <f t="shared" si="3"/>
        <v>398</v>
      </c>
      <c r="Z78" s="32">
        <f t="shared" si="4"/>
        <v>0</v>
      </c>
      <c r="AA78" s="31">
        <f>VLOOKUP(Y78,'Hazard Weighting Functions'!$B$5:$G$1205,3,FALSE)</f>
        <v>7.5785828E-2</v>
      </c>
      <c r="AB78" s="31">
        <f>AA78*Z78</f>
        <v>0</v>
      </c>
      <c r="AC78" s="31">
        <f>0.5*(Y79-Y78)*(AB78+AB79)</f>
        <v>0</v>
      </c>
      <c r="AD78" s="31">
        <f>VLOOKUP(Y78,'Hazard Weighting Functions'!$B$5:$G$1205,5,FALSE)</f>
        <v>3.1975705306295181E-4</v>
      </c>
      <c r="AE78" s="31">
        <f>AD78*Z78</f>
        <v>0</v>
      </c>
      <c r="AF78" s="31">
        <f>0.5*(Y79-Y78)*(AE78+AE79)</f>
        <v>0</v>
      </c>
      <c r="AH78" s="1">
        <f t="shared" si="1"/>
        <v>398</v>
      </c>
      <c r="AI78" s="1">
        <f t="shared" si="2"/>
        <v>885.08529682825088</v>
      </c>
      <c r="AJ78" s="31">
        <f>VLOOKUP(AH78,'Hazard Weighting Functions'!$B$5:$G$1205,3,FALSE)</f>
        <v>7.5785828E-2</v>
      </c>
      <c r="AK78" s="31">
        <f t="shared" si="5"/>
        <v>67.076922070754762</v>
      </c>
      <c r="AL78" s="31">
        <f t="shared" si="6"/>
        <v>209.40406909009437</v>
      </c>
      <c r="AM78" s="32">
        <f>VLOOKUP(AH78,'Hazard Weighting Functions'!$B$5:$G$1205,5,FALSE)</f>
        <v>3.1975705306295181E-4</v>
      </c>
      <c r="AN78" s="32">
        <f>AM78*AI78</f>
        <v>0.28301226622314946</v>
      </c>
      <c r="AO78" s="32">
        <f>0.5*(AH79-AH78)*(AN78+AN79)</f>
        <v>0.84662776841973419</v>
      </c>
    </row>
    <row r="79" spans="2:41">
      <c r="B79" s="32">
        <v>400</v>
      </c>
      <c r="C79" s="36"/>
      <c r="E79" s="32">
        <v>400</v>
      </c>
      <c r="F79" s="36">
        <v>1423.271470193396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Y79" s="32">
        <f t="shared" si="3"/>
        <v>400</v>
      </c>
      <c r="Z79" s="32">
        <f t="shared" si="4"/>
        <v>0</v>
      </c>
      <c r="AA79" s="31">
        <f>VLOOKUP(Y79,'Hazard Weighting Functions'!$B$5:$G$1205,3,FALSE)</f>
        <v>0.1</v>
      </c>
      <c r="AB79" s="31">
        <f>AA79*Z79</f>
        <v>0</v>
      </c>
      <c r="AC79" s="31">
        <f>0.5*(Y80-Y79)*(AB79+AB80)</f>
        <v>0</v>
      </c>
      <c r="AD79" s="31">
        <f>VLOOKUP(Y79,'Hazard Weighting Functions'!$B$5:$G$1205,5,FALSE)</f>
        <v>3.9599999999999998E-4</v>
      </c>
      <c r="AE79" s="31">
        <f>AD79*Z79</f>
        <v>0</v>
      </c>
      <c r="AF79" s="31">
        <f>0.5*(Y80-Y79)*(AE79+AE80)</f>
        <v>0</v>
      </c>
      <c r="AH79" s="1">
        <f t="shared" si="1"/>
        <v>400</v>
      </c>
      <c r="AI79" s="1">
        <f t="shared" si="2"/>
        <v>1423.271470193396</v>
      </c>
      <c r="AJ79" s="31">
        <f>VLOOKUP(AH79,'Hazard Weighting Functions'!$B$5:$G$1205,3,FALSE)</f>
        <v>0.1</v>
      </c>
      <c r="AK79" s="31">
        <f t="shared" si="5"/>
        <v>142.32714701933961</v>
      </c>
      <c r="AL79" s="31">
        <f t="shared" si="6"/>
        <v>2771.040485982403</v>
      </c>
      <c r="AM79" s="32">
        <f>VLOOKUP(AH79,'Hazard Weighting Functions'!$B$5:$G$1205,5,FALSE)</f>
        <v>3.9599999999999998E-4</v>
      </c>
      <c r="AN79" s="32">
        <f>AM79*AI79</f>
        <v>0.56361550219658474</v>
      </c>
      <c r="AO79" s="32">
        <f>0.5*(AH80-AH79)*(AN79+AN80)</f>
        <v>9.1377511344804354</v>
      </c>
    </row>
    <row r="80" spans="2:41">
      <c r="B80" s="32">
        <v>405</v>
      </c>
      <c r="C80" s="36"/>
      <c r="E80" s="32">
        <v>405</v>
      </c>
      <c r="F80" s="36">
        <v>4830.4452368681077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Y80" s="32">
        <f t="shared" si="3"/>
        <v>405</v>
      </c>
      <c r="Z80" s="32">
        <f t="shared" si="4"/>
        <v>0</v>
      </c>
      <c r="AA80" s="31">
        <f>VLOOKUP(Y80,'Hazard Weighting Functions'!$B$5:$G$1205,3,FALSE)</f>
        <v>0.2</v>
      </c>
      <c r="AB80" s="31">
        <f>AA80*Z80</f>
        <v>0</v>
      </c>
      <c r="AC80" s="31">
        <f>0.5*(Y81-Y80)*(AB80+AB81)</f>
        <v>0</v>
      </c>
      <c r="AD80" s="31">
        <f>VLOOKUP(Y80,'Hazard Weighting Functions'!$B$5:$G$1205,5,FALSE)</f>
        <v>6.4000000000000005E-4</v>
      </c>
      <c r="AE80" s="31">
        <f>AD80*Z80</f>
        <v>0</v>
      </c>
      <c r="AF80" s="31">
        <f>0.5*(Y81-Y80)*(AE80+AE81)</f>
        <v>0</v>
      </c>
      <c r="AH80" s="1">
        <f t="shared" si="1"/>
        <v>405</v>
      </c>
      <c r="AI80" s="1">
        <f t="shared" si="2"/>
        <v>4830.4452368681077</v>
      </c>
      <c r="AJ80" s="31">
        <f>VLOOKUP(AH80,'Hazard Weighting Functions'!$B$5:$G$1205,3,FALSE)</f>
        <v>0.2</v>
      </c>
      <c r="AK80" s="31">
        <f t="shared" si="5"/>
        <v>966.08904737362161</v>
      </c>
      <c r="AL80" s="31">
        <f t="shared" si="6"/>
        <v>16282.688827720391</v>
      </c>
      <c r="AM80" s="32">
        <f>VLOOKUP(AH80,'Hazard Weighting Functions'!$B$5:$G$1205,5,FALSE)</f>
        <v>6.4000000000000005E-4</v>
      </c>
      <c r="AN80" s="32">
        <f>AM80*AI80</f>
        <v>3.0914849515955893</v>
      </c>
      <c r="AO80" s="32">
        <f>0.5*(AH81-AH80)*(AN80+AN81)</f>
        <v>49.677797662080138</v>
      </c>
    </row>
    <row r="81" spans="2:41">
      <c r="B81" s="32">
        <v>410</v>
      </c>
      <c r="C81" s="36"/>
      <c r="E81" s="32">
        <v>410</v>
      </c>
      <c r="F81" s="36">
        <v>13867.466209286335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Y81" s="32">
        <f t="shared" si="3"/>
        <v>410</v>
      </c>
      <c r="Z81" s="32">
        <f t="shared" si="4"/>
        <v>0</v>
      </c>
      <c r="AA81" s="31">
        <f>VLOOKUP(Y81,'Hazard Weighting Functions'!$B$5:$G$1205,3,FALSE)</f>
        <v>0.4</v>
      </c>
      <c r="AB81" s="31">
        <f>AA81*Z81</f>
        <v>0</v>
      </c>
      <c r="AC81" s="31">
        <f>0.5*(Y82-Y81)*(AB81+AB82)</f>
        <v>0</v>
      </c>
      <c r="AD81" s="31">
        <f>VLOOKUP(Y81,'Hazard Weighting Functions'!$B$5:$G$1205,5,FALSE)</f>
        <v>1.2099999999999999E-3</v>
      </c>
      <c r="AE81" s="31">
        <f>AD81*Z81</f>
        <v>0</v>
      </c>
      <c r="AF81" s="31">
        <f>0.5*(Y82-Y81)*(AE81+AE82)</f>
        <v>0</v>
      </c>
      <c r="AH81" s="1">
        <f t="shared" si="1"/>
        <v>410</v>
      </c>
      <c r="AI81" s="1">
        <f t="shared" si="2"/>
        <v>13867.466209286335</v>
      </c>
      <c r="AJ81" s="31">
        <f>VLOOKUP(AH81,'Hazard Weighting Functions'!$B$5:$G$1205,3,FALSE)</f>
        <v>0.4</v>
      </c>
      <c r="AK81" s="31">
        <f t="shared" si="5"/>
        <v>5546.9864837145342</v>
      </c>
      <c r="AL81" s="31">
        <f t="shared" si="6"/>
        <v>85143.060577021388</v>
      </c>
      <c r="AM81" s="32">
        <f>VLOOKUP(AH81,'Hazard Weighting Functions'!$B$5:$G$1205,5,FALSE)</f>
        <v>1.2099999999999999E-3</v>
      </c>
      <c r="AN81" s="32">
        <f>AM81*AI81</f>
        <v>16.779634113236465</v>
      </c>
      <c r="AO81" s="32">
        <f>0.5*(AH82-AH81)*(AN81+AN82)</f>
        <v>236.17507993516915</v>
      </c>
    </row>
    <row r="82" spans="2:41">
      <c r="B82" s="32">
        <v>415</v>
      </c>
      <c r="C82" s="36"/>
      <c r="E82" s="32">
        <v>415</v>
      </c>
      <c r="F82" s="36">
        <v>35637.797183867522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Y82" s="32">
        <f t="shared" si="3"/>
        <v>415</v>
      </c>
      <c r="Z82" s="32">
        <f t="shared" si="4"/>
        <v>0</v>
      </c>
      <c r="AA82" s="31">
        <f>VLOOKUP(Y82,'Hazard Weighting Functions'!$B$5:$G$1205,3,FALSE)</f>
        <v>0.8</v>
      </c>
      <c r="AB82" s="31">
        <f>AA82*Z82</f>
        <v>0</v>
      </c>
      <c r="AC82" s="31">
        <f>0.5*(Y83-Y82)*(AB82+AB83)</f>
        <v>0</v>
      </c>
      <c r="AD82" s="31">
        <f>VLOOKUP(Y82,'Hazard Weighting Functions'!$B$5:$G$1205,5,FALSE)</f>
        <v>2.1800000000000001E-3</v>
      </c>
      <c r="AE82" s="31">
        <f>AD82*Z82</f>
        <v>0</v>
      </c>
      <c r="AF82" s="31">
        <f>0.5*(Y83-Y82)*(AE82+AE83)</f>
        <v>0</v>
      </c>
      <c r="AH82" s="1">
        <f t="shared" si="1"/>
        <v>415</v>
      </c>
      <c r="AI82" s="1">
        <f t="shared" si="2"/>
        <v>35637.797183867522</v>
      </c>
      <c r="AJ82" s="31">
        <f>VLOOKUP(AH82,'Hazard Weighting Functions'!$B$5:$G$1205,3,FALSE)</f>
        <v>0.8</v>
      </c>
      <c r="AK82" s="31">
        <f t="shared" si="5"/>
        <v>28510.237747094019</v>
      </c>
      <c r="AL82" s="31">
        <f t="shared" si="6"/>
        <v>254647.0559111402</v>
      </c>
      <c r="AM82" s="32">
        <f>VLOOKUP(AH82,'Hazard Weighting Functions'!$B$5:$G$1205,5,FALSE)</f>
        <v>2.1800000000000001E-3</v>
      </c>
      <c r="AN82" s="32">
        <f>AM82*AI82</f>
        <v>77.690397860831197</v>
      </c>
      <c r="AO82" s="32">
        <f>0.5*(AH83-AH82)*(AN82+AN83)</f>
        <v>1009.2102681783231</v>
      </c>
    </row>
    <row r="83" spans="2:41">
      <c r="B83" s="32">
        <v>420</v>
      </c>
      <c r="C83" s="36"/>
      <c r="E83" s="32">
        <v>420</v>
      </c>
      <c r="F83" s="36">
        <v>81498.427352624509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Y83" s="32">
        <f t="shared" si="3"/>
        <v>420</v>
      </c>
      <c r="Z83" s="32">
        <f t="shared" si="4"/>
        <v>0</v>
      </c>
      <c r="AA83" s="31">
        <f>VLOOKUP(Y83,'Hazard Weighting Functions'!$B$5:$G$1205,3,FALSE)</f>
        <v>0.9</v>
      </c>
      <c r="AB83" s="31">
        <f>AA83*Z83</f>
        <v>0</v>
      </c>
      <c r="AC83" s="31">
        <f>0.5*(Y84-Y83)*(AB83+AB84)</f>
        <v>0</v>
      </c>
      <c r="AD83" s="31">
        <f>VLOOKUP(Y83,'Hazard Weighting Functions'!$B$5:$G$1205,5,FALSE)</f>
        <v>4.0000000000000001E-3</v>
      </c>
      <c r="AE83" s="31">
        <f>AD83*Z83</f>
        <v>0</v>
      </c>
      <c r="AF83" s="31">
        <f>0.5*(Y84-Y83)*(AE83+AE84)</f>
        <v>0</v>
      </c>
      <c r="AH83" s="1">
        <f t="shared" si="1"/>
        <v>420</v>
      </c>
      <c r="AI83" s="1">
        <f t="shared" si="2"/>
        <v>81498.427352624509</v>
      </c>
      <c r="AJ83" s="31">
        <f>VLOOKUP(AH83,'Hazard Weighting Functions'!$B$5:$G$1205,3,FALSE)</f>
        <v>0.9</v>
      </c>
      <c r="AK83" s="31">
        <f t="shared" si="5"/>
        <v>73348.584617362067</v>
      </c>
      <c r="AL83" s="31">
        <f t="shared" si="6"/>
        <v>568863.38976706262</v>
      </c>
      <c r="AM83" s="32">
        <f>VLOOKUP(AH83,'Hazard Weighting Functions'!$B$5:$G$1205,5,FALSE)</f>
        <v>4.0000000000000001E-3</v>
      </c>
      <c r="AN83" s="32">
        <f>AM83*AI83</f>
        <v>325.99370941049807</v>
      </c>
      <c r="AO83" s="32">
        <f>0.5*(AH84-AH83)*(AN83+AN84)</f>
        <v>3777.185406192245</v>
      </c>
    </row>
    <row r="84" spans="2:41">
      <c r="B84" s="32">
        <v>425</v>
      </c>
      <c r="C84" s="36"/>
      <c r="E84" s="32">
        <v>425</v>
      </c>
      <c r="F84" s="36">
        <v>162312.39083101368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Y84" s="32">
        <f t="shared" si="3"/>
        <v>425</v>
      </c>
      <c r="Z84" s="32">
        <f t="shared" si="4"/>
        <v>0</v>
      </c>
      <c r="AA84" s="31">
        <f>VLOOKUP(Y84,'Hazard Weighting Functions'!$B$5:$G$1205,3,FALSE)</f>
        <v>0.95</v>
      </c>
      <c r="AB84" s="31">
        <f>AA84*Z84</f>
        <v>0</v>
      </c>
      <c r="AC84" s="31">
        <f>0.5*(Y85-Y84)*(AB84+AB85)</f>
        <v>0</v>
      </c>
      <c r="AD84" s="31">
        <f>VLOOKUP(Y84,'Hazard Weighting Functions'!$B$5:$G$1205,5,FALSE)</f>
        <v>7.3000000000000001E-3</v>
      </c>
      <c r="AE84" s="31">
        <f>AD84*Z84</f>
        <v>0</v>
      </c>
      <c r="AF84" s="31">
        <f>0.5*(Y85-Y84)*(AE84+AE85)</f>
        <v>0</v>
      </c>
      <c r="AH84" s="1">
        <f t="shared" si="1"/>
        <v>425</v>
      </c>
      <c r="AI84" s="1">
        <f t="shared" si="2"/>
        <v>162312.39083101368</v>
      </c>
      <c r="AJ84" s="31">
        <f>VLOOKUP(AH84,'Hazard Weighting Functions'!$B$5:$G$1205,3,FALSE)</f>
        <v>0.95</v>
      </c>
      <c r="AK84" s="31">
        <f t="shared" si="5"/>
        <v>154196.77128946298</v>
      </c>
      <c r="AL84" s="31">
        <f t="shared" si="6"/>
        <v>1082351.7243763898</v>
      </c>
      <c r="AM84" s="32">
        <f>VLOOKUP(AH84,'Hazard Weighting Functions'!$B$5:$G$1205,5,FALSE)</f>
        <v>7.3000000000000001E-3</v>
      </c>
      <c r="AN84" s="32">
        <f>AM84*AI84</f>
        <v>1184.8804530663999</v>
      </c>
      <c r="AO84" s="32">
        <f>0.5*(AH85-AH84)*(AN84+AN85)</f>
        <v>11210.745658555483</v>
      </c>
    </row>
    <row r="85" spans="2:41">
      <c r="B85" s="32">
        <v>430</v>
      </c>
      <c r="C85" s="36"/>
      <c r="E85" s="32">
        <v>430</v>
      </c>
      <c r="F85" s="36">
        <v>284432.56985825807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Y85" s="32">
        <f t="shared" si="3"/>
        <v>430</v>
      </c>
      <c r="Z85" s="32">
        <f t="shared" si="4"/>
        <v>0</v>
      </c>
      <c r="AA85" s="31">
        <f>VLOOKUP(Y85,'Hazard Weighting Functions'!$B$5:$G$1205,3,FALSE)</f>
        <v>0.98</v>
      </c>
      <c r="AB85" s="31">
        <f>AA85*Z85</f>
        <v>0</v>
      </c>
      <c r="AC85" s="31">
        <f>0.5*(Y86-Y85)*(AB85+AB86)</f>
        <v>0</v>
      </c>
      <c r="AD85" s="31">
        <f>VLOOKUP(Y85,'Hazard Weighting Functions'!$B$5:$G$1205,5,FALSE)</f>
        <v>1.1599999999999999E-2</v>
      </c>
      <c r="AE85" s="31">
        <f>AD85*Z85</f>
        <v>0</v>
      </c>
      <c r="AF85" s="31">
        <f>0.5*(Y86-Y85)*(AE85+AE86)</f>
        <v>0</v>
      </c>
      <c r="AH85" s="1">
        <f t="shared" si="1"/>
        <v>430</v>
      </c>
      <c r="AI85" s="1">
        <f t="shared" si="2"/>
        <v>284432.56985825807</v>
      </c>
      <c r="AJ85" s="31">
        <f>VLOOKUP(AH85,'Hazard Weighting Functions'!$B$5:$G$1205,3,FALSE)</f>
        <v>0.98</v>
      </c>
      <c r="AK85" s="31">
        <f t="shared" si="5"/>
        <v>278743.91846109292</v>
      </c>
      <c r="AL85" s="31">
        <f t="shared" si="6"/>
        <v>1756215.970630229</v>
      </c>
      <c r="AM85" s="32">
        <f>VLOOKUP(AH85,'Hazard Weighting Functions'!$B$5:$G$1205,5,FALSE)</f>
        <v>1.1599999999999999E-2</v>
      </c>
      <c r="AN85" s="32">
        <f>AM85*AI85</f>
        <v>3299.4178103557933</v>
      </c>
      <c r="AO85" s="32">
        <f>0.5*(AH86-AH85)*(AN85+AN86)</f>
        <v>26088.10250409053</v>
      </c>
    </row>
    <row r="86" spans="2:41">
      <c r="B86" s="32">
        <v>435</v>
      </c>
      <c r="C86" s="36"/>
      <c r="E86" s="32">
        <v>435</v>
      </c>
      <c r="F86" s="36">
        <v>423742.46979099873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Y86" s="32">
        <f t="shared" si="3"/>
        <v>435</v>
      </c>
      <c r="Z86" s="32">
        <f t="shared" si="4"/>
        <v>0</v>
      </c>
      <c r="AA86" s="31">
        <f>VLOOKUP(Y86,'Hazard Weighting Functions'!$B$5:$G$1205,3,FALSE)</f>
        <v>1</v>
      </c>
      <c r="AB86" s="31">
        <f>AA86*Z86</f>
        <v>0</v>
      </c>
      <c r="AC86" s="31">
        <f>0.5*(Y87-Y86)*(AB86+AB87)</f>
        <v>0</v>
      </c>
      <c r="AD86" s="31">
        <f>VLOOKUP(Y86,'Hazard Weighting Functions'!$B$5:$G$1205,5,FALSE)</f>
        <v>1.6840000000000001E-2</v>
      </c>
      <c r="AE86" s="31">
        <f>AD86*Z86</f>
        <v>0</v>
      </c>
      <c r="AF86" s="31">
        <f>0.5*(Y87-Y86)*(AE86+AE87)</f>
        <v>0</v>
      </c>
      <c r="AH86" s="1">
        <f t="shared" si="1"/>
        <v>435</v>
      </c>
      <c r="AI86" s="1">
        <f t="shared" si="2"/>
        <v>423742.46979099873</v>
      </c>
      <c r="AJ86" s="31">
        <f>VLOOKUP(AH86,'Hazard Weighting Functions'!$B$5:$G$1205,3,FALSE)</f>
        <v>1</v>
      </c>
      <c r="AK86" s="31">
        <f t="shared" si="5"/>
        <v>423742.46979099873</v>
      </c>
      <c r="AL86" s="31">
        <f t="shared" si="6"/>
        <v>2416766.7538404437</v>
      </c>
      <c r="AM86" s="32">
        <f>VLOOKUP(AH86,'Hazard Weighting Functions'!$B$5:$G$1205,5,FALSE)</f>
        <v>1.6840000000000001E-2</v>
      </c>
      <c r="AN86" s="32">
        <f>AM86*AI86</f>
        <v>7135.8231912804185</v>
      </c>
      <c r="AO86" s="32">
        <f>0.5*(AH87-AH86)*(AN86+AN87)</f>
        <v>49060.001303548815</v>
      </c>
    </row>
    <row r="87" spans="2:41">
      <c r="B87" s="32">
        <v>440</v>
      </c>
      <c r="C87" s="36"/>
      <c r="E87" s="32">
        <v>440</v>
      </c>
      <c r="F87" s="36">
        <v>542964.23174517869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Y87" s="32">
        <f t="shared" si="3"/>
        <v>440</v>
      </c>
      <c r="Z87" s="32">
        <f t="shared" si="4"/>
        <v>0</v>
      </c>
      <c r="AA87" s="31">
        <f>VLOOKUP(Y87,'Hazard Weighting Functions'!$B$5:$G$1205,3,FALSE)</f>
        <v>1</v>
      </c>
      <c r="AB87" s="31">
        <f>AA87*Z87</f>
        <v>0</v>
      </c>
      <c r="AC87" s="31">
        <f>0.5*(Y88-Y87)*(AB87+AB88)</f>
        <v>0</v>
      </c>
      <c r="AD87" s="31">
        <f>VLOOKUP(Y87,'Hazard Weighting Functions'!$B$5:$G$1205,5,FALSE)</f>
        <v>2.3E-2</v>
      </c>
      <c r="AE87" s="31">
        <f>AD87*Z87</f>
        <v>0</v>
      </c>
      <c r="AF87" s="31">
        <f>0.5*(Y88-Y87)*(AE87+AE88)</f>
        <v>0</v>
      </c>
      <c r="AH87" s="1">
        <f t="shared" si="1"/>
        <v>440</v>
      </c>
      <c r="AI87" s="1">
        <f t="shared" si="2"/>
        <v>542964.23174517869</v>
      </c>
      <c r="AJ87" s="31">
        <f>VLOOKUP(AH87,'Hazard Weighting Functions'!$B$5:$G$1205,3,FALSE)</f>
        <v>1</v>
      </c>
      <c r="AK87" s="31">
        <f t="shared" si="5"/>
        <v>542964.23174517869</v>
      </c>
      <c r="AL87" s="31">
        <f t="shared" si="6"/>
        <v>2900721.6639249302</v>
      </c>
      <c r="AM87" s="32">
        <f>VLOOKUP(AH87,'Hazard Weighting Functions'!$B$5:$G$1205,5,FALSE)</f>
        <v>2.3E-2</v>
      </c>
      <c r="AN87" s="32">
        <f>AM87*AI87</f>
        <v>12488.177330139109</v>
      </c>
      <c r="AO87" s="32">
        <f>0.5*(AH88-AH87)*(AN87+AN88)</f>
        <v>78633.505510860254</v>
      </c>
    </row>
    <row r="88" spans="2:41">
      <c r="B88" s="32">
        <v>445</v>
      </c>
      <c r="C88" s="36"/>
      <c r="E88" s="32">
        <v>445</v>
      </c>
      <c r="F88" s="36">
        <v>636416.94208741584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Y88" s="32">
        <f t="shared" si="3"/>
        <v>445</v>
      </c>
      <c r="Z88" s="32">
        <f t="shared" si="4"/>
        <v>0</v>
      </c>
      <c r="AA88" s="31">
        <f>VLOOKUP(Y88,'Hazard Weighting Functions'!$B$5:$G$1205,3,FALSE)</f>
        <v>0.97</v>
      </c>
      <c r="AB88" s="31">
        <f>AA88*Z88</f>
        <v>0</v>
      </c>
      <c r="AC88" s="31">
        <f>0.5*(Y89-Y88)*(AB88+AB89)</f>
        <v>0</v>
      </c>
      <c r="AD88" s="31">
        <f>VLOOKUP(Y88,'Hazard Weighting Functions'!$B$5:$G$1205,5,FALSE)</f>
        <v>2.98E-2</v>
      </c>
      <c r="AE88" s="31">
        <f>AD88*Z88</f>
        <v>0</v>
      </c>
      <c r="AF88" s="31">
        <f>0.5*(Y89-Y88)*(AE88+AE89)</f>
        <v>0</v>
      </c>
      <c r="AH88" s="1">
        <f t="shared" si="1"/>
        <v>445</v>
      </c>
      <c r="AI88" s="1">
        <f t="shared" si="2"/>
        <v>636416.94208741584</v>
      </c>
      <c r="AJ88" s="31">
        <f>VLOOKUP(AH88,'Hazard Weighting Functions'!$B$5:$G$1205,3,FALSE)</f>
        <v>0.97</v>
      </c>
      <c r="AK88" s="31">
        <f t="shared" si="5"/>
        <v>617324.43382479332</v>
      </c>
      <c r="AL88" s="31">
        <f t="shared" si="6"/>
        <v>3119274.7636707304</v>
      </c>
      <c r="AM88" s="32">
        <f>VLOOKUP(AH88,'Hazard Weighting Functions'!$B$5:$G$1205,5,FALSE)</f>
        <v>2.98E-2</v>
      </c>
      <c r="AN88" s="32">
        <f>AM88*AI88</f>
        <v>18965.224874204992</v>
      </c>
      <c r="AO88" s="32">
        <f>0.5*(AH89-AH88)*(AN88+AN89)</f>
        <v>111122.23219203629</v>
      </c>
    </row>
    <row r="89" spans="2:41">
      <c r="B89" s="32">
        <v>450</v>
      </c>
      <c r="C89" s="36"/>
      <c r="E89" s="32">
        <v>450</v>
      </c>
      <c r="F89" s="36">
        <v>670622.8421739348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Y89" s="32">
        <f t="shared" si="3"/>
        <v>450</v>
      </c>
      <c r="Z89" s="32">
        <f t="shared" si="4"/>
        <v>0</v>
      </c>
      <c r="AA89" s="31">
        <f>VLOOKUP(Y89,'Hazard Weighting Functions'!$B$5:$G$1205,3,FALSE)</f>
        <v>0.94</v>
      </c>
      <c r="AB89" s="31">
        <f>AA89*Z89</f>
        <v>0</v>
      </c>
      <c r="AC89" s="31">
        <f>0.5*(Y90-Y89)*(AB89+AB90)</f>
        <v>0</v>
      </c>
      <c r="AD89" s="31">
        <f>VLOOKUP(Y89,'Hazard Weighting Functions'!$B$5:$G$1205,5,FALSE)</f>
        <v>3.7999999999999999E-2</v>
      </c>
      <c r="AE89" s="31">
        <f>AD89*Z89</f>
        <v>0</v>
      </c>
      <c r="AF89" s="31">
        <f>0.5*(Y90-Y89)*(AE89+AE90)</f>
        <v>0</v>
      </c>
      <c r="AH89" s="1">
        <f t="shared" si="1"/>
        <v>450</v>
      </c>
      <c r="AI89" s="1">
        <f t="shared" si="2"/>
        <v>670622.8421739348</v>
      </c>
      <c r="AJ89" s="31">
        <f>VLOOKUP(AH89,'Hazard Weighting Functions'!$B$5:$G$1205,3,FALSE)</f>
        <v>0.94</v>
      </c>
      <c r="AK89" s="31">
        <f t="shared" si="5"/>
        <v>630385.47164349863</v>
      </c>
      <c r="AL89" s="31">
        <f t="shared" si="6"/>
        <v>2780199.5101663265</v>
      </c>
      <c r="AM89" s="32">
        <f>VLOOKUP(AH89,'Hazard Weighting Functions'!$B$5:$G$1205,5,FALSE)</f>
        <v>3.7999999999999999E-2</v>
      </c>
      <c r="AN89" s="32">
        <f>AM89*AI89</f>
        <v>25483.66800260952</v>
      </c>
      <c r="AO89" s="32">
        <f>0.5*(AH90-AH89)*(AN89+AN90)</f>
        <v>127935.08099626139</v>
      </c>
    </row>
    <row r="90" spans="2:41">
      <c r="B90" s="32">
        <v>455</v>
      </c>
      <c r="C90" s="36"/>
      <c r="E90" s="32">
        <v>455</v>
      </c>
      <c r="F90" s="36">
        <v>535215.92491447995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Y90" s="32">
        <f t="shared" si="3"/>
        <v>455</v>
      </c>
      <c r="Z90" s="32">
        <f t="shared" si="4"/>
        <v>0</v>
      </c>
      <c r="AA90" s="31">
        <f>VLOOKUP(Y90,'Hazard Weighting Functions'!$B$5:$G$1205,3,FALSE)</f>
        <v>0.9</v>
      </c>
      <c r="AB90" s="31">
        <f>AA90*Z90</f>
        <v>0</v>
      </c>
      <c r="AC90" s="31">
        <f>0.5*(Y91-Y90)*(AB90+AB91)</f>
        <v>0</v>
      </c>
      <c r="AD90" s="31">
        <f>VLOOKUP(Y90,'Hazard Weighting Functions'!$B$5:$G$1205,5,FALSE)</f>
        <v>4.8000000000000001E-2</v>
      </c>
      <c r="AE90" s="31">
        <f>AD90*Z90</f>
        <v>0</v>
      </c>
      <c r="AF90" s="31">
        <f>0.5*(Y91-Y90)*(AE90+AE91)</f>
        <v>0</v>
      </c>
      <c r="AH90" s="1">
        <f t="shared" si="1"/>
        <v>455</v>
      </c>
      <c r="AI90" s="1">
        <f t="shared" si="2"/>
        <v>535215.92491447995</v>
      </c>
      <c r="AJ90" s="31">
        <f>VLOOKUP(AH90,'Hazard Weighting Functions'!$B$5:$G$1205,3,FALSE)</f>
        <v>0.9</v>
      </c>
      <c r="AK90" s="31">
        <f t="shared" si="5"/>
        <v>481694.33242303197</v>
      </c>
      <c r="AL90" s="31">
        <f t="shared" si="6"/>
        <v>1865382.203915522</v>
      </c>
      <c r="AM90" s="32">
        <f>VLOOKUP(AH90,'Hazard Weighting Functions'!$B$5:$G$1205,5,FALSE)</f>
        <v>4.8000000000000001E-2</v>
      </c>
      <c r="AN90" s="32">
        <f>AM90*AI90</f>
        <v>25690.364395895038</v>
      </c>
      <c r="AO90" s="32">
        <f>0.5*(AH91-AH90)*(AN90+AN91)</f>
        <v>113811.88895408326</v>
      </c>
    </row>
    <row r="91" spans="2:41">
      <c r="B91" s="32">
        <v>460</v>
      </c>
      <c r="C91" s="36"/>
      <c r="E91" s="32">
        <v>460</v>
      </c>
      <c r="F91" s="36">
        <v>330573.18642897106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Y91" s="32">
        <f t="shared" si="3"/>
        <v>460</v>
      </c>
      <c r="Z91" s="32">
        <f t="shared" si="4"/>
        <v>0</v>
      </c>
      <c r="AA91" s="31">
        <f>VLOOKUP(Y91,'Hazard Weighting Functions'!$B$5:$G$1205,3,FALSE)</f>
        <v>0.8</v>
      </c>
      <c r="AB91" s="31">
        <f>AA91*Z91</f>
        <v>0</v>
      </c>
      <c r="AC91" s="31">
        <f>0.5*(Y92-Y91)*(AB91+AB92)</f>
        <v>0</v>
      </c>
      <c r="AD91" s="31">
        <f>VLOOKUP(Y91,'Hazard Weighting Functions'!$B$5:$G$1205,5,FALSE)</f>
        <v>0.06</v>
      </c>
      <c r="AE91" s="31">
        <f>AD91*Z91</f>
        <v>0</v>
      </c>
      <c r="AF91" s="31">
        <f>0.5*(Y92-Y91)*(AE91+AE92)</f>
        <v>0</v>
      </c>
      <c r="AH91" s="1">
        <f t="shared" si="1"/>
        <v>460</v>
      </c>
      <c r="AI91" s="1">
        <f t="shared" si="2"/>
        <v>330573.18642897106</v>
      </c>
      <c r="AJ91" s="31">
        <f>VLOOKUP(AH91,'Hazard Weighting Functions'!$B$5:$G$1205,3,FALSE)</f>
        <v>0.8</v>
      </c>
      <c r="AK91" s="31">
        <f t="shared" si="5"/>
        <v>264458.54914317688</v>
      </c>
      <c r="AL91" s="31">
        <f t="shared" si="6"/>
        <v>1029309.2053014019</v>
      </c>
      <c r="AM91" s="32">
        <f>VLOOKUP(AH91,'Hazard Weighting Functions'!$B$5:$G$1205,5,FALSE)</f>
        <v>0.06</v>
      </c>
      <c r="AN91" s="32">
        <f>AM91*AI91</f>
        <v>19834.391185738263</v>
      </c>
      <c r="AO91" s="32">
        <f>0.5*(AH92-AH91)*(AN91+AN92)</f>
        <v>88453.454132305196</v>
      </c>
    </row>
    <row r="92" spans="2:41">
      <c r="B92" s="32">
        <v>465</v>
      </c>
      <c r="C92" s="36"/>
      <c r="E92" s="32">
        <v>465</v>
      </c>
      <c r="F92" s="36">
        <v>210378.76139626274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Y92" s="32">
        <f t="shared" si="3"/>
        <v>465</v>
      </c>
      <c r="Z92" s="32">
        <f t="shared" si="4"/>
        <v>0</v>
      </c>
      <c r="AA92" s="31">
        <f>VLOOKUP(Y92,'Hazard Weighting Functions'!$B$5:$G$1205,3,FALSE)</f>
        <v>0.7</v>
      </c>
      <c r="AB92" s="31">
        <f>AA92*Z92</f>
        <v>0</v>
      </c>
      <c r="AC92" s="31">
        <f>0.5*(Y93-Y92)*(AB92+AB93)</f>
        <v>0</v>
      </c>
      <c r="AD92" s="31">
        <f>VLOOKUP(Y92,'Hazard Weighting Functions'!$B$5:$G$1205,5,FALSE)</f>
        <v>7.3899999999999993E-2</v>
      </c>
      <c r="AE92" s="31">
        <f>AD92*Z92</f>
        <v>0</v>
      </c>
      <c r="AF92" s="31">
        <f>0.5*(Y93-Y92)*(AE92+AE93)</f>
        <v>0</v>
      </c>
      <c r="AH92" s="1">
        <f t="shared" ref="AH92:AH135" si="7">E92</f>
        <v>465</v>
      </c>
      <c r="AI92" s="1">
        <f t="shared" ref="AI92:AI135" si="8">F92</f>
        <v>210378.76139626274</v>
      </c>
      <c r="AJ92" s="31">
        <f>VLOOKUP(AH92,'Hazard Weighting Functions'!$B$5:$G$1205,3,FALSE)</f>
        <v>0.7</v>
      </c>
      <c r="AK92" s="31">
        <f t="shared" si="5"/>
        <v>147265.13297738391</v>
      </c>
      <c r="AL92" s="31">
        <f t="shared" si="6"/>
        <v>597888.22472405049</v>
      </c>
      <c r="AM92" s="32">
        <f>VLOOKUP(AH92,'Hazard Weighting Functions'!$B$5:$G$1205,5,FALSE)</f>
        <v>7.3899999999999993E-2</v>
      </c>
      <c r="AN92" s="32">
        <f>AM92*AI92</f>
        <v>15546.990467183814</v>
      </c>
      <c r="AO92" s="32">
        <f>0.5*(AH93-AH92)*(AN92+AN93)</f>
        <v>72577.824861004934</v>
      </c>
    </row>
    <row r="93" spans="2:41">
      <c r="B93" s="32">
        <v>470</v>
      </c>
      <c r="C93" s="36"/>
      <c r="E93" s="32">
        <v>470</v>
      </c>
      <c r="F93" s="36">
        <v>148209.93050360697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Y93" s="32">
        <f t="shared" si="3"/>
        <v>470</v>
      </c>
      <c r="Z93" s="32">
        <f t="shared" si="4"/>
        <v>0</v>
      </c>
      <c r="AA93" s="31">
        <f>VLOOKUP(Y93,'Hazard Weighting Functions'!$B$5:$G$1205,3,FALSE)</f>
        <v>0.62</v>
      </c>
      <c r="AB93" s="31">
        <f>AA93*Z93</f>
        <v>0</v>
      </c>
      <c r="AC93" s="31">
        <f>0.5*(Y94-Y93)*(AB93+AB94)</f>
        <v>0</v>
      </c>
      <c r="AD93" s="31">
        <f>VLOOKUP(Y93,'Hazard Weighting Functions'!$B$5:$G$1205,5,FALSE)</f>
        <v>9.0980000000000005E-2</v>
      </c>
      <c r="AE93" s="31">
        <f>AD93*Z93</f>
        <v>0</v>
      </c>
      <c r="AF93" s="31">
        <f>0.5*(Y94-Y93)*(AE93+AE94)</f>
        <v>0</v>
      </c>
      <c r="AH93" s="1">
        <f t="shared" si="7"/>
        <v>470</v>
      </c>
      <c r="AI93" s="1">
        <f t="shared" si="8"/>
        <v>148209.93050360697</v>
      </c>
      <c r="AJ93" s="31">
        <f>VLOOKUP(AH93,'Hazard Weighting Functions'!$B$5:$G$1205,3,FALSE)</f>
        <v>0.62</v>
      </c>
      <c r="AK93" s="31">
        <f t="shared" si="5"/>
        <v>91890.156912236314</v>
      </c>
      <c r="AL93" s="31">
        <f t="shared" si="6"/>
        <v>373287.0495776356</v>
      </c>
      <c r="AM93" s="32">
        <f>VLOOKUP(AH93,'Hazard Weighting Functions'!$B$5:$G$1205,5,FALSE)</f>
        <v>9.0980000000000005E-2</v>
      </c>
      <c r="AN93" s="32">
        <f>AM93*AI93</f>
        <v>13484.139477218163</v>
      </c>
      <c r="AO93" s="32">
        <f>0.5*(AH94-AH93)*(AN93+AN94)</f>
        <v>63101.335259676765</v>
      </c>
    </row>
    <row r="94" spans="2:41">
      <c r="B94" s="32">
        <v>475</v>
      </c>
      <c r="C94" s="36"/>
      <c r="E94" s="32">
        <v>475</v>
      </c>
      <c r="F94" s="36">
        <v>104408.47803421441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Y94" s="32">
        <f t="shared" ref="Y94:Y157" si="9">B94</f>
        <v>475</v>
      </c>
      <c r="Z94" s="32">
        <f t="shared" ref="Z94:Z157" si="10">C94</f>
        <v>0</v>
      </c>
      <c r="AA94" s="31">
        <f>VLOOKUP(Y94,'Hazard Weighting Functions'!$B$5:$G$1205,3,FALSE)</f>
        <v>0.55000000000000004</v>
      </c>
      <c r="AB94" s="31">
        <f>AA94*Z94</f>
        <v>0</v>
      </c>
      <c r="AC94" s="31">
        <f>0.5*(Y95-Y94)*(AB94+AB95)</f>
        <v>0</v>
      </c>
      <c r="AD94" s="31">
        <f>VLOOKUP(Y94,'Hazard Weighting Functions'!$B$5:$G$1205,5,FALSE)</f>
        <v>0.11260000000000001</v>
      </c>
      <c r="AE94" s="31">
        <f>AD94*Z94</f>
        <v>0</v>
      </c>
      <c r="AF94" s="31">
        <f>0.5*(Y95-Y94)*(AE94+AE95)</f>
        <v>0</v>
      </c>
      <c r="AH94" s="1">
        <f t="shared" si="7"/>
        <v>475</v>
      </c>
      <c r="AI94" s="1">
        <f t="shared" si="8"/>
        <v>104408.47803421441</v>
      </c>
      <c r="AJ94" s="31">
        <f>VLOOKUP(AH94,'Hazard Weighting Functions'!$B$5:$G$1205,3,FALSE)</f>
        <v>0.55000000000000004</v>
      </c>
      <c r="AK94" s="31">
        <f t="shared" ref="AK94:AK139" si="11">AI94*AJ94</f>
        <v>57424.662918817929</v>
      </c>
      <c r="AL94" s="31">
        <f t="shared" ref="AL94:AL138" si="12">0.5*(AH95-AH94)*(AK94+AK95)</f>
        <v>234930.55511541903</v>
      </c>
      <c r="AM94" s="32">
        <f>VLOOKUP(AH94,'Hazard Weighting Functions'!$B$5:$G$1205,5,FALSE)</f>
        <v>0.11260000000000001</v>
      </c>
      <c r="AN94" s="32">
        <f>AM94*AI94</f>
        <v>11756.394626652544</v>
      </c>
      <c r="AO94" s="32">
        <f>0.5*(AH95-AH94)*(AN94+AN95)</f>
        <v>57617.884732654435</v>
      </c>
    </row>
    <row r="95" spans="2:41">
      <c r="B95" s="32">
        <v>480</v>
      </c>
      <c r="C95" s="36"/>
      <c r="E95" s="32">
        <v>480</v>
      </c>
      <c r="F95" s="36">
        <v>81216.798060777088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Y95" s="32">
        <f t="shared" si="9"/>
        <v>480</v>
      </c>
      <c r="Z95" s="32">
        <f t="shared" si="10"/>
        <v>0</v>
      </c>
      <c r="AA95" s="31">
        <f>VLOOKUP(Y95,'Hazard Weighting Functions'!$B$5:$G$1205,3,FALSE)</f>
        <v>0.45</v>
      </c>
      <c r="AB95" s="31">
        <f>AA95*Z95</f>
        <v>0</v>
      </c>
      <c r="AC95" s="31">
        <f>0.5*(Y96-Y95)*(AB95+AB96)</f>
        <v>0</v>
      </c>
      <c r="AD95" s="31">
        <f>VLOOKUP(Y95,'Hazard Weighting Functions'!$B$5:$G$1205,5,FALSE)</f>
        <v>0.13902</v>
      </c>
      <c r="AE95" s="31">
        <f>AD95*Z95</f>
        <v>0</v>
      </c>
      <c r="AF95" s="31">
        <f>0.5*(Y96-Y95)*(AE95+AE96)</f>
        <v>0</v>
      </c>
      <c r="AH95" s="1">
        <f t="shared" si="7"/>
        <v>480</v>
      </c>
      <c r="AI95" s="1">
        <f t="shared" si="8"/>
        <v>81216.798060777088</v>
      </c>
      <c r="AJ95" s="31">
        <f>VLOOKUP(AH95,'Hazard Weighting Functions'!$B$5:$G$1205,3,FALSE)</f>
        <v>0.45</v>
      </c>
      <c r="AK95" s="31">
        <f t="shared" si="11"/>
        <v>36547.55912734969</v>
      </c>
      <c r="AL95" s="31">
        <f t="shared" si="12"/>
        <v>165855.12772499194</v>
      </c>
      <c r="AM95" s="32">
        <f>VLOOKUP(AH95,'Hazard Weighting Functions'!$B$5:$G$1205,5,FALSE)</f>
        <v>0.13902</v>
      </c>
      <c r="AN95" s="32">
        <f>AM95*AI95</f>
        <v>11290.759266409232</v>
      </c>
      <c r="AO95" s="32">
        <f>0.5*(AH96-AH95)*(AN95+AN96)</f>
        <v>59753.194973999038</v>
      </c>
    </row>
    <row r="96" spans="2:41">
      <c r="B96" s="32">
        <v>485</v>
      </c>
      <c r="C96" s="36"/>
      <c r="E96" s="32">
        <v>485</v>
      </c>
      <c r="F96" s="36">
        <v>74486.229906617722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Y96" s="32">
        <f t="shared" si="9"/>
        <v>485</v>
      </c>
      <c r="Z96" s="32">
        <f t="shared" si="10"/>
        <v>0</v>
      </c>
      <c r="AA96" s="31">
        <f>VLOOKUP(Y96,'Hazard Weighting Functions'!$B$5:$G$1205,3,FALSE)</f>
        <v>0.4</v>
      </c>
      <c r="AB96" s="31">
        <f>AA96*Z96</f>
        <v>0</v>
      </c>
      <c r="AC96" s="31">
        <f>0.5*(Y97-Y96)*(AB96+AB97)</f>
        <v>0</v>
      </c>
      <c r="AD96" s="31">
        <f>VLOOKUP(Y96,'Hazard Weighting Functions'!$B$5:$G$1205,5,FALSE)</f>
        <v>0.16930000000000001</v>
      </c>
      <c r="AE96" s="31">
        <f>AD96*Z96</f>
        <v>0</v>
      </c>
      <c r="AF96" s="31">
        <f>0.5*(Y97-Y96)*(AE96+AE97)</f>
        <v>0</v>
      </c>
      <c r="AH96" s="1">
        <f t="shared" si="7"/>
        <v>485</v>
      </c>
      <c r="AI96" s="1">
        <f t="shared" si="8"/>
        <v>74486.229906617722</v>
      </c>
      <c r="AJ96" s="31">
        <f>VLOOKUP(AH96,'Hazard Weighting Functions'!$B$5:$G$1205,3,FALSE)</f>
        <v>0.4</v>
      </c>
      <c r="AK96" s="31">
        <f t="shared" si="11"/>
        <v>29794.491962647091</v>
      </c>
      <c r="AL96" s="31">
        <f t="shared" si="12"/>
        <v>117727.79602762382</v>
      </c>
      <c r="AM96" s="32">
        <f>VLOOKUP(AH96,'Hazard Weighting Functions'!$B$5:$G$1205,5,FALSE)</f>
        <v>0.16930000000000001</v>
      </c>
      <c r="AN96" s="32">
        <f>AM96*AI96</f>
        <v>12610.51872319038</v>
      </c>
      <c r="AO96" s="32">
        <f>0.5*(AH97-AH96)*(AN96+AN97)</f>
        <v>72413.163101119979</v>
      </c>
    </row>
    <row r="97" spans="2:41">
      <c r="B97" s="32">
        <v>490</v>
      </c>
      <c r="C97" s="36"/>
      <c r="E97" s="32">
        <v>490</v>
      </c>
      <c r="F97" s="36">
        <v>78621.02931092013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Y97" s="32">
        <f t="shared" si="9"/>
        <v>490</v>
      </c>
      <c r="Z97" s="32">
        <f t="shared" si="10"/>
        <v>0</v>
      </c>
      <c r="AA97" s="31">
        <f>VLOOKUP(Y97,'Hazard Weighting Functions'!$B$5:$G$1205,3,FALSE)</f>
        <v>0.22</v>
      </c>
      <c r="AB97" s="31">
        <f>AA97*Z97</f>
        <v>0</v>
      </c>
      <c r="AC97" s="31">
        <f>0.5*(Y98-Y97)*(AB97+AB98)</f>
        <v>0</v>
      </c>
      <c r="AD97" s="31">
        <f>VLOOKUP(Y97,'Hazard Weighting Functions'!$B$5:$G$1205,5,FALSE)</f>
        <v>0.20802000000000001</v>
      </c>
      <c r="AE97" s="31">
        <f>AD97*Z97</f>
        <v>0</v>
      </c>
      <c r="AF97" s="31">
        <f>0.5*(Y98-Y97)*(AE97+AE98)</f>
        <v>0</v>
      </c>
      <c r="AH97" s="1">
        <f t="shared" si="7"/>
        <v>490</v>
      </c>
      <c r="AI97" s="1">
        <f t="shared" si="8"/>
        <v>78621.02931092013</v>
      </c>
      <c r="AJ97" s="31">
        <f>VLOOKUP(AH97,'Hazard Weighting Functions'!$B$5:$G$1205,3,FALSE)</f>
        <v>0.22</v>
      </c>
      <c r="AK97" s="31">
        <f t="shared" si="11"/>
        <v>17296.626448402429</v>
      </c>
      <c r="AL97" s="31">
        <f t="shared" si="12"/>
        <v>81001.497915760134</v>
      </c>
      <c r="AM97" s="32">
        <f>VLOOKUP(AH97,'Hazard Weighting Functions'!$B$5:$G$1205,5,FALSE)</f>
        <v>0.20802000000000001</v>
      </c>
      <c r="AN97" s="32">
        <f>AM97*AI97</f>
        <v>16354.746517257607</v>
      </c>
      <c r="AO97" s="32">
        <f>0.5*(AH98-AH97)*(AN97+AN98)</f>
        <v>101916.35605641527</v>
      </c>
    </row>
    <row r="98" spans="2:41">
      <c r="B98" s="32">
        <v>495</v>
      </c>
      <c r="C98" s="36"/>
      <c r="E98" s="32">
        <v>495</v>
      </c>
      <c r="F98" s="36">
        <v>94399.829486885166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Y98" s="32">
        <f t="shared" si="9"/>
        <v>495</v>
      </c>
      <c r="Z98" s="32">
        <f t="shared" si="10"/>
        <v>0</v>
      </c>
      <c r="AA98" s="31">
        <f>VLOOKUP(Y98,'Hazard Weighting Functions'!$B$5:$G$1205,3,FALSE)</f>
        <v>0.16</v>
      </c>
      <c r="AB98" s="31">
        <f>AA98*Z98</f>
        <v>0</v>
      </c>
      <c r="AC98" s="31">
        <f>0.5*(Y99-Y98)*(AB98+AB99)</f>
        <v>0</v>
      </c>
      <c r="AD98" s="31">
        <f>VLOOKUP(Y98,'Hazard Weighting Functions'!$B$5:$G$1205,5,FALSE)</f>
        <v>0.2586</v>
      </c>
      <c r="AE98" s="31">
        <f>AD98*Z98</f>
        <v>0</v>
      </c>
      <c r="AF98" s="31">
        <f>0.5*(Y99-Y98)*(AE98+AE99)</f>
        <v>0</v>
      </c>
      <c r="AH98" s="1">
        <f t="shared" si="7"/>
        <v>495</v>
      </c>
      <c r="AI98" s="1">
        <f t="shared" si="8"/>
        <v>94399.829486885166</v>
      </c>
      <c r="AJ98" s="31">
        <f>VLOOKUP(AH98,'Hazard Weighting Functions'!$B$5:$G$1205,3,FALSE)</f>
        <v>0.16</v>
      </c>
      <c r="AK98" s="31">
        <f t="shared" si="11"/>
        <v>15103.972717901626</v>
      </c>
      <c r="AL98" s="31">
        <f t="shared" si="12"/>
        <v>68026.446118865715</v>
      </c>
      <c r="AM98" s="32">
        <f>VLOOKUP(AH98,'Hazard Weighting Functions'!$B$5:$G$1205,5,FALSE)</f>
        <v>0.2586</v>
      </c>
      <c r="AN98" s="32">
        <f>AM98*AI98</f>
        <v>24411.795905308503</v>
      </c>
      <c r="AO98" s="32">
        <f>0.5*(AH99-AH98)*(AN98+AN99)</f>
        <v>158790.33103015189</v>
      </c>
    </row>
    <row r="99" spans="2:41">
      <c r="B99" s="32">
        <v>500</v>
      </c>
      <c r="C99" s="36"/>
      <c r="E99" s="32">
        <v>500</v>
      </c>
      <c r="F99" s="36">
        <v>121066.0572964466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Y99" s="32">
        <f t="shared" si="9"/>
        <v>500</v>
      </c>
      <c r="Z99" s="32">
        <f t="shared" si="10"/>
        <v>0</v>
      </c>
      <c r="AA99" s="31">
        <f>VLOOKUP(Y99,'Hazard Weighting Functions'!$B$5:$G$1205,3,FALSE)</f>
        <v>0.1</v>
      </c>
      <c r="AB99" s="31">
        <f>AA99*Z99</f>
        <v>0</v>
      </c>
      <c r="AC99" s="31">
        <f>0.5*(Y100-Y99)*(AB99+AB100)</f>
        <v>0</v>
      </c>
      <c r="AD99" s="31">
        <f>VLOOKUP(Y99,'Hazard Weighting Functions'!$B$5:$G$1205,5,FALSE)</f>
        <v>0.32300000000000001</v>
      </c>
      <c r="AE99" s="31">
        <f>AD99*Z99</f>
        <v>0</v>
      </c>
      <c r="AF99" s="31">
        <f>0.5*(Y100-Y99)*(AE99+AE100)</f>
        <v>0</v>
      </c>
      <c r="AH99" s="1">
        <f t="shared" si="7"/>
        <v>500</v>
      </c>
      <c r="AI99" s="1">
        <f t="shared" si="8"/>
        <v>121066.0572964466</v>
      </c>
      <c r="AJ99" s="31">
        <f>VLOOKUP(AH99,'Hazard Weighting Functions'!$B$5:$G$1205,3,FALSE)</f>
        <v>0.1</v>
      </c>
      <c r="AK99" s="31">
        <f t="shared" si="11"/>
        <v>12106.60572964466</v>
      </c>
      <c r="AL99" s="31">
        <f t="shared" si="12"/>
        <v>60889.090313582361</v>
      </c>
      <c r="AM99" s="32">
        <f>VLOOKUP(AH99,'Hazard Weighting Functions'!$B$5:$G$1205,5,FALSE)</f>
        <v>0.32300000000000001</v>
      </c>
      <c r="AN99" s="32">
        <f>AM99*AI99</f>
        <v>39104.336506752254</v>
      </c>
      <c r="AO99" s="32">
        <f>0.5*(AH100-AH99)*(AN99+AN100)</f>
        <v>255641.54000753156</v>
      </c>
    </row>
    <row r="100" spans="2:41">
      <c r="B100" s="32">
        <v>505</v>
      </c>
      <c r="C100" s="36"/>
      <c r="E100" s="32">
        <v>505</v>
      </c>
      <c r="F100" s="36">
        <v>155051.01766820616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Y100" s="32">
        <f t="shared" si="9"/>
        <v>505</v>
      </c>
      <c r="Z100" s="32">
        <f t="shared" si="10"/>
        <v>0</v>
      </c>
      <c r="AA100" s="31">
        <f>VLOOKUP(Y100,'Hazard Weighting Functions'!$B$5:$G$1205,3,FALSE)</f>
        <v>7.9000000000000001E-2</v>
      </c>
      <c r="AB100" s="31">
        <f>AA100*Z100</f>
        <v>0</v>
      </c>
      <c r="AC100" s="31">
        <f>0.5*(Y101-Y100)*(AB100+AB101)</f>
        <v>0</v>
      </c>
      <c r="AD100" s="31">
        <f>VLOOKUP(Y100,'Hazard Weighting Functions'!$B$5:$G$1205,5,FALSE)</f>
        <v>0.4073</v>
      </c>
      <c r="AE100" s="31">
        <f>AD100*Z100</f>
        <v>0</v>
      </c>
      <c r="AF100" s="31">
        <f>0.5*(Y101-Y100)*(AE100+AE101)</f>
        <v>0</v>
      </c>
      <c r="AH100" s="1">
        <f t="shared" si="7"/>
        <v>505</v>
      </c>
      <c r="AI100" s="1">
        <f t="shared" si="8"/>
        <v>155051.01766820616</v>
      </c>
      <c r="AJ100" s="31">
        <f>VLOOKUP(AH100,'Hazard Weighting Functions'!$B$5:$G$1205,3,FALSE)</f>
        <v>7.9000000000000001E-2</v>
      </c>
      <c r="AK100" s="31">
        <f t="shared" si="11"/>
        <v>12249.030395788286</v>
      </c>
      <c r="AL100" s="31">
        <f t="shared" si="12"/>
        <v>60132.993707379632</v>
      </c>
      <c r="AM100" s="32">
        <f>VLOOKUP(AH100,'Hazard Weighting Functions'!$B$5:$G$1205,5,FALSE)</f>
        <v>0.4073</v>
      </c>
      <c r="AN100" s="32">
        <f>AM100*AI100</f>
        <v>63152.279496260366</v>
      </c>
      <c r="AO100" s="32">
        <f>0.5*(AH101-AH100)*(AN100+AN101)</f>
        <v>393495.62115506653</v>
      </c>
    </row>
    <row r="101" spans="2:41">
      <c r="B101" s="32">
        <v>510</v>
      </c>
      <c r="C101" s="36"/>
      <c r="E101" s="32">
        <v>510</v>
      </c>
      <c r="F101" s="36">
        <v>187367.73154227884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Y101" s="32">
        <f t="shared" si="9"/>
        <v>510</v>
      </c>
      <c r="Z101" s="32">
        <f t="shared" si="10"/>
        <v>0</v>
      </c>
      <c r="AA101" s="31">
        <f>VLOOKUP(Y101,'Hazard Weighting Functions'!$B$5:$G$1205,3,FALSE)</f>
        <v>6.3E-2</v>
      </c>
      <c r="AB101" s="31">
        <f>AA101*Z101</f>
        <v>0</v>
      </c>
      <c r="AC101" s="31">
        <f>0.5*(Y102-Y101)*(AB101+AB102)</f>
        <v>0</v>
      </c>
      <c r="AD101" s="31">
        <f>VLOOKUP(Y101,'Hazard Weighting Functions'!$B$5:$G$1205,5,FALSE)</f>
        <v>0.503</v>
      </c>
      <c r="AE101" s="31">
        <f>AD101*Z101</f>
        <v>0</v>
      </c>
      <c r="AF101" s="31">
        <f>0.5*(Y102-Y101)*(AE101+AE102)</f>
        <v>0</v>
      </c>
      <c r="AH101" s="1">
        <f t="shared" si="7"/>
        <v>510</v>
      </c>
      <c r="AI101" s="1">
        <f t="shared" si="8"/>
        <v>187367.73154227884</v>
      </c>
      <c r="AJ101" s="31">
        <f>VLOOKUP(AH101,'Hazard Weighting Functions'!$B$5:$G$1205,3,FALSE)</f>
        <v>6.3E-2</v>
      </c>
      <c r="AK101" s="31">
        <f t="shared" si="11"/>
        <v>11804.167087163567</v>
      </c>
      <c r="AL101" s="31">
        <f t="shared" si="12"/>
        <v>56933.685879643526</v>
      </c>
      <c r="AM101" s="32">
        <f>VLOOKUP(AH101,'Hazard Weighting Functions'!$B$5:$G$1205,5,FALSE)</f>
        <v>0.503</v>
      </c>
      <c r="AN101" s="32">
        <f>AM101*AI101</f>
        <v>94245.968965766253</v>
      </c>
      <c r="AO101" s="32">
        <f>0.5*(AH102-AH101)*(AN101+AN102)</f>
        <v>569191.55633375538</v>
      </c>
    </row>
    <row r="102" spans="2:41">
      <c r="B102" s="32">
        <v>515</v>
      </c>
      <c r="C102" s="36"/>
      <c r="E102" s="32">
        <v>515</v>
      </c>
      <c r="F102" s="36">
        <v>219386.14529387688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Y102" s="32">
        <f t="shared" si="9"/>
        <v>515</v>
      </c>
      <c r="Z102" s="32">
        <f t="shared" si="10"/>
        <v>0</v>
      </c>
      <c r="AA102" s="31">
        <f>VLOOKUP(Y102,'Hazard Weighting Functions'!$B$5:$G$1205,3,FALSE)</f>
        <v>0.05</v>
      </c>
      <c r="AB102" s="31">
        <f>AA102*Z102</f>
        <v>0</v>
      </c>
      <c r="AC102" s="31">
        <f>0.5*(Y103-Y102)*(AB102+AB103)</f>
        <v>0</v>
      </c>
      <c r="AD102" s="31">
        <f>VLOOKUP(Y102,'Hazard Weighting Functions'!$B$5:$G$1205,5,FALSE)</f>
        <v>0.60819999999999996</v>
      </c>
      <c r="AE102" s="31">
        <f>AD102*Z102</f>
        <v>0</v>
      </c>
      <c r="AF102" s="31">
        <f>0.5*(Y103-Y102)*(AE102+AE103)</f>
        <v>0</v>
      </c>
      <c r="AH102" s="1">
        <f t="shared" si="7"/>
        <v>515</v>
      </c>
      <c r="AI102" s="1">
        <f t="shared" si="8"/>
        <v>219386.14529387688</v>
      </c>
      <c r="AJ102" s="31">
        <f>VLOOKUP(AH102,'Hazard Weighting Functions'!$B$5:$G$1205,3,FALSE)</f>
        <v>0.05</v>
      </c>
      <c r="AK102" s="31">
        <f t="shared" si="11"/>
        <v>10969.307264693845</v>
      </c>
      <c r="AL102" s="31">
        <f t="shared" si="12"/>
        <v>52189.858027745926</v>
      </c>
      <c r="AM102" s="32">
        <f>VLOOKUP(AH102,'Hazard Weighting Functions'!$B$5:$G$1205,5,FALSE)</f>
        <v>0.60819999999999996</v>
      </c>
      <c r="AN102" s="32">
        <f>AM102*AI102</f>
        <v>133430.65356773592</v>
      </c>
      <c r="AO102" s="32">
        <f>0.5*(AH103-AH102)*(AN102+AN103)</f>
        <v>773183.60404104053</v>
      </c>
    </row>
    <row r="103" spans="2:41">
      <c r="B103" s="32">
        <v>520</v>
      </c>
      <c r="C103" s="36"/>
      <c r="E103" s="32">
        <v>520</v>
      </c>
      <c r="F103" s="36">
        <v>247665.89866011305</v>
      </c>
      <c r="H103" s="1"/>
      <c r="I103" s="22"/>
      <c r="J103" s="1"/>
      <c r="K103" s="1"/>
      <c r="L103" s="22"/>
      <c r="M103" s="1"/>
      <c r="N103" s="1"/>
      <c r="O103" s="22"/>
      <c r="P103" s="32"/>
      <c r="Q103" s="1"/>
      <c r="R103" s="22"/>
      <c r="S103" s="1"/>
      <c r="T103" s="1"/>
      <c r="Y103" s="32">
        <f t="shared" si="9"/>
        <v>520</v>
      </c>
      <c r="Z103" s="32">
        <f t="shared" si="10"/>
        <v>0</v>
      </c>
      <c r="AA103" s="31">
        <f>VLOOKUP(Y103,'Hazard Weighting Functions'!$B$5:$G$1205,3,FALSE)</f>
        <v>0.04</v>
      </c>
      <c r="AB103" s="31">
        <f>AA103*Z103</f>
        <v>0</v>
      </c>
      <c r="AC103" s="31">
        <f>0.5*(Y104-Y103)*(AB103+AB104)</f>
        <v>0</v>
      </c>
      <c r="AD103" s="31">
        <f>VLOOKUP(Y103,'Hazard Weighting Functions'!$B$5:$G$1205,5,FALSE)</f>
        <v>0.71</v>
      </c>
      <c r="AE103" s="31">
        <f>AD103*Z103</f>
        <v>0</v>
      </c>
      <c r="AF103" s="31">
        <f>0.5*(Y104-Y103)*(AE103+AE104)</f>
        <v>0</v>
      </c>
      <c r="AH103" s="1">
        <f t="shared" si="7"/>
        <v>520</v>
      </c>
      <c r="AI103" s="1">
        <f t="shared" si="8"/>
        <v>247665.89866011305</v>
      </c>
      <c r="AJ103" s="31">
        <f>VLOOKUP(AH103,'Hazard Weighting Functions'!$B$5:$G$1205,3,FALSE)</f>
        <v>0.04</v>
      </c>
      <c r="AK103" s="31">
        <f t="shared" si="11"/>
        <v>9906.6359464045217</v>
      </c>
      <c r="AL103" s="31">
        <f t="shared" si="12"/>
        <v>46372.356821081477</v>
      </c>
      <c r="AM103" s="32">
        <f>VLOOKUP(AH103,'Hazard Weighting Functions'!$B$5:$G$1205,5,FALSE)</f>
        <v>0.71</v>
      </c>
      <c r="AN103" s="32">
        <f>AM103*AI103</f>
        <v>175842.78804868026</v>
      </c>
      <c r="AO103" s="32">
        <f>0.5*(AH104-AH103)*(AN103+AN104)</f>
        <v>975159.9185205024</v>
      </c>
    </row>
    <row r="104" spans="2:41">
      <c r="B104" s="32">
        <v>525</v>
      </c>
      <c r="C104" s="36"/>
      <c r="E104" s="32">
        <v>525</v>
      </c>
      <c r="F104" s="36">
        <v>270072.08693837712</v>
      </c>
      <c r="H104" s="1"/>
      <c r="I104" s="1"/>
      <c r="J104" s="1"/>
      <c r="K104" s="1"/>
      <c r="L104" s="1"/>
      <c r="M104" s="1"/>
      <c r="N104" s="1"/>
      <c r="O104" s="1"/>
      <c r="P104" s="32"/>
      <c r="Q104" s="1"/>
      <c r="R104" s="1"/>
      <c r="S104" s="1"/>
      <c r="T104" s="1"/>
      <c r="Y104" s="32">
        <f t="shared" si="9"/>
        <v>525</v>
      </c>
      <c r="Z104" s="32">
        <f t="shared" si="10"/>
        <v>0</v>
      </c>
      <c r="AA104" s="31">
        <f>VLOOKUP(Y104,'Hazard Weighting Functions'!$B$5:$G$1205,3,FALSE)</f>
        <v>3.2000000000000001E-2</v>
      </c>
      <c r="AB104" s="31">
        <f>AA104*Z104</f>
        <v>0</v>
      </c>
      <c r="AC104" s="31">
        <f>0.5*(Y105-Y104)*(AB104+AB105)</f>
        <v>0</v>
      </c>
      <c r="AD104" s="31">
        <f>VLOOKUP(Y104,'Hazard Weighting Functions'!$B$5:$G$1205,5,FALSE)</f>
        <v>0.79320000000000002</v>
      </c>
      <c r="AE104" s="31">
        <f>AD104*Z104</f>
        <v>0</v>
      </c>
      <c r="AF104" s="31">
        <f>0.5*(Y105-Y104)*(AE104+AE105)</f>
        <v>0</v>
      </c>
      <c r="AH104" s="1">
        <f t="shared" si="7"/>
        <v>525</v>
      </c>
      <c r="AI104" s="1">
        <f t="shared" si="8"/>
        <v>270072.08693837712</v>
      </c>
      <c r="AJ104" s="31">
        <f>VLOOKUP(AH104,'Hazard Weighting Functions'!$B$5:$G$1205,3,FALSE)</f>
        <v>3.2000000000000001E-2</v>
      </c>
      <c r="AK104" s="31">
        <f t="shared" si="11"/>
        <v>8642.3067820280685</v>
      </c>
      <c r="AL104" s="31">
        <f t="shared" si="12"/>
        <v>39546.376588222476</v>
      </c>
      <c r="AM104" s="32">
        <f>VLOOKUP(AH104,'Hazard Weighting Functions'!$B$5:$G$1205,5,FALSE)</f>
        <v>0.79320000000000002</v>
      </c>
      <c r="AN104" s="32">
        <f>AM104*AI104</f>
        <v>214221.17935952073</v>
      </c>
      <c r="AO104" s="32">
        <f>0.5*(AH105-AH104)*(AN104+AN105)</f>
        <v>1154145.1685498932</v>
      </c>
    </row>
    <row r="105" spans="2:41">
      <c r="B105" s="32">
        <v>530</v>
      </c>
      <c r="C105" s="36"/>
      <c r="E105" s="32">
        <v>530</v>
      </c>
      <c r="F105" s="36">
        <v>287049.75413043686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Y105" s="32">
        <f t="shared" si="9"/>
        <v>530</v>
      </c>
      <c r="Z105" s="32">
        <f t="shared" si="10"/>
        <v>0</v>
      </c>
      <c r="AA105" s="31">
        <f>VLOOKUP(Y105,'Hazard Weighting Functions'!$B$5:$G$1205,3,FALSE)</f>
        <v>2.5000000000000001E-2</v>
      </c>
      <c r="AB105" s="31">
        <f>AA105*Z105</f>
        <v>0</v>
      </c>
      <c r="AC105" s="31">
        <f>0.5*(Y106-Y105)*(AB105+AB106)</f>
        <v>0</v>
      </c>
      <c r="AD105" s="31">
        <f>VLOOKUP(Y105,'Hazard Weighting Functions'!$B$5:$G$1205,5,FALSE)</f>
        <v>0.86199999999999999</v>
      </c>
      <c r="AE105" s="31">
        <f>AD105*Z105</f>
        <v>0</v>
      </c>
      <c r="AF105" s="31">
        <f>0.5*(Y106-Y105)*(AE105+AE106)</f>
        <v>0</v>
      </c>
      <c r="AH105" s="1">
        <f t="shared" si="7"/>
        <v>530</v>
      </c>
      <c r="AI105" s="1">
        <f t="shared" si="8"/>
        <v>287049.75413043686</v>
      </c>
      <c r="AJ105" s="31">
        <f>VLOOKUP(AH105,'Hazard Weighting Functions'!$B$5:$G$1205,3,FALSE)</f>
        <v>2.5000000000000001E-2</v>
      </c>
      <c r="AK105" s="31">
        <f t="shared" si="11"/>
        <v>7176.2438532609222</v>
      </c>
      <c r="AL105" s="31">
        <f t="shared" si="12"/>
        <v>32869.807926379894</v>
      </c>
      <c r="AM105" s="32">
        <f>VLOOKUP(AH105,'Hazard Weighting Functions'!$B$5:$G$1205,5,FALSE)</f>
        <v>0.86199999999999999</v>
      </c>
      <c r="AN105" s="32">
        <f>AM105*AI105</f>
        <v>247436.88806043658</v>
      </c>
      <c r="AO105" s="32">
        <f>0.5*(AH106-AH105)*(AN105+AN106)</f>
        <v>1301491.0730790545</v>
      </c>
    </row>
    <row r="106" spans="2:41">
      <c r="B106" s="32">
        <v>535</v>
      </c>
      <c r="C106" s="36"/>
      <c r="E106" s="32">
        <v>535</v>
      </c>
      <c r="F106" s="36">
        <v>298583.96586455178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Y106" s="32">
        <f t="shared" si="9"/>
        <v>535</v>
      </c>
      <c r="Z106" s="32">
        <f t="shared" si="10"/>
        <v>0</v>
      </c>
      <c r="AA106" s="31">
        <f>VLOOKUP(Y106,'Hazard Weighting Functions'!$B$5:$G$1205,3,FALSE)</f>
        <v>0.02</v>
      </c>
      <c r="AB106" s="31">
        <f>AA106*Z106</f>
        <v>0</v>
      </c>
      <c r="AC106" s="31">
        <f>0.5*(Y107-Y106)*(AB106+AB107)</f>
        <v>0</v>
      </c>
      <c r="AD106" s="31">
        <f>VLOOKUP(Y106,'Hazard Weighting Functions'!$B$5:$G$1205,5,FALSE)</f>
        <v>0.91485000000000005</v>
      </c>
      <c r="AE106" s="31">
        <f>AD106*Z106</f>
        <v>0</v>
      </c>
      <c r="AF106" s="31">
        <f>0.5*(Y107-Y106)*(AE106+AE107)</f>
        <v>0</v>
      </c>
      <c r="AH106" s="1">
        <f t="shared" si="7"/>
        <v>535</v>
      </c>
      <c r="AI106" s="1">
        <f t="shared" si="8"/>
        <v>298583.96586455178</v>
      </c>
      <c r="AJ106" s="31">
        <f>VLOOKUP(AH106,'Hazard Weighting Functions'!$B$5:$G$1205,3,FALSE)</f>
        <v>0.02</v>
      </c>
      <c r="AK106" s="31">
        <f t="shared" si="11"/>
        <v>5971.6793172910357</v>
      </c>
      <c r="AL106" s="31">
        <f t="shared" si="12"/>
        <v>27177.352312905321</v>
      </c>
      <c r="AM106" s="32">
        <f>VLOOKUP(AH106,'Hazard Weighting Functions'!$B$5:$G$1205,5,FALSE)</f>
        <v>0.91485000000000005</v>
      </c>
      <c r="AN106" s="32">
        <f>AM106*AI106</f>
        <v>273159.54117118521</v>
      </c>
      <c r="AO106" s="32">
        <f>0.5*(AH107-AH106)*(AN106+AN107)</f>
        <v>1413195.0363512479</v>
      </c>
    </row>
    <row r="107" spans="2:41">
      <c r="B107" s="32">
        <v>540</v>
      </c>
      <c r="C107" s="36"/>
      <c r="E107" s="32">
        <v>540</v>
      </c>
      <c r="F107" s="36">
        <v>306203.85049194342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Y107" s="32">
        <f t="shared" si="9"/>
        <v>540</v>
      </c>
      <c r="Z107" s="32">
        <f t="shared" si="10"/>
        <v>0</v>
      </c>
      <c r="AA107" s="31">
        <f>VLOOKUP(Y107,'Hazard Weighting Functions'!$B$5:$G$1205,3,FALSE)</f>
        <v>1.6E-2</v>
      </c>
      <c r="AB107" s="31">
        <f>AA107*Z107</f>
        <v>0</v>
      </c>
      <c r="AC107" s="31">
        <f>0.5*(Y108-Y107)*(AB107+AB108)</f>
        <v>0</v>
      </c>
      <c r="AD107" s="31">
        <f>VLOOKUP(Y107,'Hazard Weighting Functions'!$B$5:$G$1205,5,FALSE)</f>
        <v>0.95399999999999996</v>
      </c>
      <c r="AE107" s="31">
        <f>AD107*Z107</f>
        <v>0</v>
      </c>
      <c r="AF107" s="31">
        <f>0.5*(Y108-Y107)*(AE107+AE108)</f>
        <v>0</v>
      </c>
      <c r="AH107" s="1">
        <f t="shared" si="7"/>
        <v>540</v>
      </c>
      <c r="AI107" s="1">
        <f t="shared" si="8"/>
        <v>306203.85049194342</v>
      </c>
      <c r="AJ107" s="31">
        <f>VLOOKUP(AH107,'Hazard Weighting Functions'!$B$5:$G$1205,3,FALSE)</f>
        <v>1.6E-2</v>
      </c>
      <c r="AK107" s="31">
        <f t="shared" si="11"/>
        <v>4899.2616078710944</v>
      </c>
      <c r="AL107" s="31">
        <f t="shared" si="12"/>
        <v>22321.791805295616</v>
      </c>
      <c r="AM107" s="32">
        <f>VLOOKUP(AH107,'Hazard Weighting Functions'!$B$5:$G$1205,5,FALSE)</f>
        <v>0.95399999999999996</v>
      </c>
      <c r="AN107" s="32">
        <f>AM107*AI107</f>
        <v>292118.47336931399</v>
      </c>
      <c r="AO107" s="32">
        <f>0.5*(AH108-AH107)*(AN107+AN108)</f>
        <v>1489925.961980301</v>
      </c>
    </row>
    <row r="108" spans="2:41">
      <c r="B108" s="32">
        <v>545</v>
      </c>
      <c r="C108" s="36"/>
      <c r="E108" s="32">
        <v>545</v>
      </c>
      <c r="F108" s="36">
        <v>309958.08571131941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Y108" s="32">
        <f t="shared" si="9"/>
        <v>545</v>
      </c>
      <c r="Z108" s="32">
        <f t="shared" si="10"/>
        <v>0</v>
      </c>
      <c r="AA108" s="31">
        <f>VLOOKUP(Y108,'Hazard Weighting Functions'!$B$5:$G$1205,3,FALSE)</f>
        <v>1.2999999999999999E-2</v>
      </c>
      <c r="AB108" s="31">
        <f>AA108*Z108</f>
        <v>0</v>
      </c>
      <c r="AC108" s="31">
        <f>0.5*(Y109-Y108)*(AB108+AB109)</f>
        <v>0</v>
      </c>
      <c r="AD108" s="31">
        <f>VLOOKUP(Y108,'Hazard Weighting Functions'!$B$5:$G$1205,5,FALSE)</f>
        <v>0.98029999999999995</v>
      </c>
      <c r="AE108" s="31">
        <f>AD108*Z108</f>
        <v>0</v>
      </c>
      <c r="AF108" s="31">
        <f>0.5*(Y109-Y108)*(AE108+AE109)</f>
        <v>0</v>
      </c>
      <c r="AH108" s="1">
        <f t="shared" si="7"/>
        <v>545</v>
      </c>
      <c r="AI108" s="1">
        <f t="shared" si="8"/>
        <v>309958.08571131941</v>
      </c>
      <c r="AJ108" s="31">
        <f>VLOOKUP(AH108,'Hazard Weighting Functions'!$B$5:$G$1205,3,FALSE)</f>
        <v>1.2999999999999999E-2</v>
      </c>
      <c r="AK108" s="31">
        <f t="shared" si="11"/>
        <v>4029.4551142471523</v>
      </c>
      <c r="AL108" s="31">
        <f t="shared" si="12"/>
        <v>17902.515933799659</v>
      </c>
      <c r="AM108" s="32">
        <f>VLOOKUP(AH108,'Hazard Weighting Functions'!$B$5:$G$1205,5,FALSE)</f>
        <v>0.98029999999999995</v>
      </c>
      <c r="AN108" s="32">
        <f>AM108*AI108</f>
        <v>303851.91142280638</v>
      </c>
      <c r="AO108" s="32">
        <f>0.5*(AH109-AH108)*(AN108+AN109)</f>
        <v>1538564.0099103621</v>
      </c>
    </row>
    <row r="109" spans="2:41">
      <c r="B109" s="32">
        <v>550</v>
      </c>
      <c r="C109" s="36"/>
      <c r="E109" s="32">
        <v>550</v>
      </c>
      <c r="F109" s="36">
        <v>313155.12592727115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Y109" s="32">
        <f t="shared" si="9"/>
        <v>550</v>
      </c>
      <c r="Z109" s="32">
        <f t="shared" si="10"/>
        <v>0</v>
      </c>
      <c r="AA109" s="31">
        <f>VLOOKUP(Y109,'Hazard Weighting Functions'!$B$5:$G$1205,3,FALSE)</f>
        <v>0.01</v>
      </c>
      <c r="AB109" s="31">
        <f>AA109*Z109</f>
        <v>0</v>
      </c>
      <c r="AC109" s="31">
        <f>0.5*(Y110-Y109)*(AB109+AB110)</f>
        <v>0</v>
      </c>
      <c r="AD109" s="31">
        <f>VLOOKUP(Y109,'Hazard Weighting Functions'!$B$5:$G$1205,5,FALSE)</f>
        <v>0.99495</v>
      </c>
      <c r="AE109" s="31">
        <f>AD109*Z109</f>
        <v>0</v>
      </c>
      <c r="AF109" s="31">
        <f>0.5*(Y110-Y109)*(AE109+AE110)</f>
        <v>0</v>
      </c>
      <c r="AH109" s="1">
        <f t="shared" si="7"/>
        <v>550</v>
      </c>
      <c r="AI109" s="1">
        <f t="shared" si="8"/>
        <v>313155.12592727115</v>
      </c>
      <c r="AJ109" s="31">
        <f>VLOOKUP(AH109,'Hazard Weighting Functions'!$B$5:$G$1205,3,FALSE)</f>
        <v>0.01</v>
      </c>
      <c r="AK109" s="31">
        <f t="shared" si="11"/>
        <v>3131.5512592727114</v>
      </c>
      <c r="AL109" s="31">
        <f t="shared" si="12"/>
        <v>14063.975453273608</v>
      </c>
      <c r="AM109" s="32">
        <f>VLOOKUP(AH109,'Hazard Weighting Functions'!$B$5:$G$1205,5,FALSE)</f>
        <v>0.99495</v>
      </c>
      <c r="AN109" s="32">
        <f>AM109*AI109</f>
        <v>311573.69254133845</v>
      </c>
      <c r="AO109" s="32">
        <f>0.5*(AH110-AH109)*(AN109+AN110)</f>
        <v>1558321.3944898248</v>
      </c>
    </row>
    <row r="110" spans="2:41">
      <c r="B110" s="32">
        <v>555</v>
      </c>
      <c r="C110" s="36"/>
      <c r="E110" s="32">
        <v>555</v>
      </c>
      <c r="F110" s="36">
        <v>311754.86525459151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Y110" s="32">
        <f t="shared" si="9"/>
        <v>555</v>
      </c>
      <c r="Z110" s="32">
        <f t="shared" si="10"/>
        <v>0</v>
      </c>
      <c r="AA110" s="31">
        <f>VLOOKUP(Y110,'Hazard Weighting Functions'!$B$5:$G$1205,3,FALSE)</f>
        <v>8.0000000000000002E-3</v>
      </c>
      <c r="AB110" s="31">
        <f>AA110*Z110</f>
        <v>0</v>
      </c>
      <c r="AC110" s="31">
        <f>0.5*(Y111-Y110)*(AB110+AB111)</f>
        <v>0</v>
      </c>
      <c r="AD110" s="31">
        <f>VLOOKUP(Y110,'Hazard Weighting Functions'!$B$5:$G$1205,5,FALSE)</f>
        <v>1</v>
      </c>
      <c r="AE110" s="31">
        <f>AD110*Z110</f>
        <v>0</v>
      </c>
      <c r="AF110" s="31">
        <f>0.5*(Y111-Y110)*(AE110+AE111)</f>
        <v>0</v>
      </c>
      <c r="AH110" s="1">
        <f t="shared" si="7"/>
        <v>555</v>
      </c>
      <c r="AI110" s="1">
        <f t="shared" si="8"/>
        <v>311754.86525459151</v>
      </c>
      <c r="AJ110" s="31">
        <f>VLOOKUP(AH110,'Hazard Weighting Functions'!$B$5:$G$1205,3,FALSE)</f>
        <v>8.0000000000000002E-3</v>
      </c>
      <c r="AK110" s="31">
        <f t="shared" si="11"/>
        <v>2494.0389220367319</v>
      </c>
      <c r="AL110" s="31">
        <f t="shared" si="12"/>
        <v>10863.535630056333</v>
      </c>
      <c r="AM110" s="32">
        <f>VLOOKUP(AH110,'Hazard Weighting Functions'!$B$5:$G$1205,5,FALSE)</f>
        <v>1</v>
      </c>
      <c r="AN110" s="32">
        <f>AM110*AI110</f>
        <v>311754.86525459151</v>
      </c>
      <c r="AO110" s="32">
        <f>0.5*(AH111-AH110)*(AN110+AN111)</f>
        <v>1546936.5186930918</v>
      </c>
    </row>
    <row r="111" spans="2:41">
      <c r="B111" s="32">
        <v>560</v>
      </c>
      <c r="C111" s="36"/>
      <c r="E111" s="32">
        <v>560</v>
      </c>
      <c r="F111" s="36">
        <v>308562.5549976335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Y111" s="32">
        <f t="shared" si="9"/>
        <v>560</v>
      </c>
      <c r="Z111" s="32">
        <f t="shared" si="10"/>
        <v>0</v>
      </c>
      <c r="AA111" s="31">
        <f>VLOOKUP(Y111,'Hazard Weighting Functions'!$B$5:$G$1205,3,FALSE)</f>
        <v>6.0000000000000001E-3</v>
      </c>
      <c r="AB111" s="31">
        <f>AA111*Z111</f>
        <v>0</v>
      </c>
      <c r="AC111" s="31">
        <f>0.5*(Y112-Y111)*(AB111+AB112)</f>
        <v>0</v>
      </c>
      <c r="AD111" s="31">
        <f>VLOOKUP(Y111,'Hazard Weighting Functions'!$B$5:$G$1205,5,FALSE)</f>
        <v>0.995</v>
      </c>
      <c r="AE111" s="31">
        <f>AD111*Z111</f>
        <v>0</v>
      </c>
      <c r="AF111" s="31">
        <f>0.5*(Y112-Y111)*(AE111+AE112)</f>
        <v>0</v>
      </c>
      <c r="AH111" s="1">
        <f t="shared" si="7"/>
        <v>560</v>
      </c>
      <c r="AI111" s="1">
        <f t="shared" si="8"/>
        <v>308562.5549976335</v>
      </c>
      <c r="AJ111" s="31">
        <f>VLOOKUP(AH111,'Hazard Weighting Functions'!$B$5:$G$1205,3,FALSE)</f>
        <v>6.0000000000000001E-3</v>
      </c>
      <c r="AK111" s="31">
        <f t="shared" si="11"/>
        <v>1851.375329985801</v>
      </c>
      <c r="AL111" s="31">
        <f t="shared" si="12"/>
        <v>8456.4474481582438</v>
      </c>
      <c r="AM111" s="32">
        <f>VLOOKUP(AH111,'Hazard Weighting Functions'!$B$5:$G$1205,5,FALSE)</f>
        <v>0.995</v>
      </c>
      <c r="AN111" s="32">
        <f>AM111*AI111</f>
        <v>307019.74222264532</v>
      </c>
      <c r="AO111" s="32">
        <f>0.5*(AH112-AH111)*(AN111+AN112)</f>
        <v>1516767.3011480924</v>
      </c>
    </row>
    <row r="112" spans="2:41">
      <c r="B112" s="32">
        <v>565</v>
      </c>
      <c r="C112" s="36"/>
      <c r="E112" s="32">
        <v>565</v>
      </c>
      <c r="F112" s="36">
        <v>306240.72985549923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Y112" s="32">
        <f t="shared" si="9"/>
        <v>565</v>
      </c>
      <c r="Z112" s="32">
        <f t="shared" si="10"/>
        <v>0</v>
      </c>
      <c r="AA112" s="31">
        <f>VLOOKUP(Y112,'Hazard Weighting Functions'!$B$5:$G$1205,3,FALSE)</f>
        <v>5.0000000000000001E-3</v>
      </c>
      <c r="AB112" s="31">
        <f>AA112*Z112</f>
        <v>0</v>
      </c>
      <c r="AC112" s="31">
        <f>0.5*(Y113-Y112)*(AB112+AB113)</f>
        <v>0</v>
      </c>
      <c r="AD112" s="31">
        <f>VLOOKUP(Y112,'Hazard Weighting Functions'!$B$5:$G$1205,5,FALSE)</f>
        <v>0.97860000000000003</v>
      </c>
      <c r="AE112" s="31">
        <f>AD112*Z112</f>
        <v>0</v>
      </c>
      <c r="AF112" s="31">
        <f>0.5*(Y113-Y112)*(AE112+AE113)</f>
        <v>0</v>
      </c>
      <c r="AH112" s="1">
        <f t="shared" si="7"/>
        <v>565</v>
      </c>
      <c r="AI112" s="1">
        <f t="shared" si="8"/>
        <v>306240.72985549923</v>
      </c>
      <c r="AJ112" s="31">
        <f>VLOOKUP(AH112,'Hazard Weighting Functions'!$B$5:$G$1205,3,FALSE)</f>
        <v>5.0000000000000001E-3</v>
      </c>
      <c r="AK112" s="31">
        <f t="shared" si="11"/>
        <v>1531.2036492774962</v>
      </c>
      <c r="AL112" s="31">
        <f t="shared" si="12"/>
        <v>6823.2085101192888</v>
      </c>
      <c r="AM112" s="32">
        <f>VLOOKUP(AH112,'Hazard Weighting Functions'!$B$5:$G$1205,5,FALSE)</f>
        <v>0.97860000000000003</v>
      </c>
      <c r="AN112" s="32">
        <f>AM112*AI112</f>
        <v>299687.17823659157</v>
      </c>
      <c r="AO112" s="32">
        <f>0.5*(AH113-AH112)*(AN112+AN113)</f>
        <v>1462075.3996797593</v>
      </c>
    </row>
    <row r="113" spans="2:41">
      <c r="B113" s="32">
        <v>570</v>
      </c>
      <c r="C113" s="36"/>
      <c r="E113" s="32">
        <v>570</v>
      </c>
      <c r="F113" s="36">
        <v>299519.93869255483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Y113" s="32">
        <f t="shared" si="9"/>
        <v>570</v>
      </c>
      <c r="Z113" s="32">
        <f t="shared" si="10"/>
        <v>0</v>
      </c>
      <c r="AA113" s="31">
        <f>VLOOKUP(Y113,'Hazard Weighting Functions'!$B$5:$G$1205,3,FALSE)</f>
        <v>4.0000000000000001E-3</v>
      </c>
      <c r="AB113" s="31">
        <f>AA113*Z113</f>
        <v>0</v>
      </c>
      <c r="AC113" s="31">
        <f>0.5*(Y114-Y113)*(AB113+AB114)</f>
        <v>0</v>
      </c>
      <c r="AD113" s="31">
        <f>VLOOKUP(Y113,'Hazard Weighting Functions'!$B$5:$G$1205,5,FALSE)</f>
        <v>0.95199999999999996</v>
      </c>
      <c r="AE113" s="31">
        <f>AD113*Z113</f>
        <v>0</v>
      </c>
      <c r="AF113" s="31">
        <f>0.5*(Y114-Y113)*(AE113+AE114)</f>
        <v>0</v>
      </c>
      <c r="AH113" s="1">
        <f t="shared" si="7"/>
        <v>570</v>
      </c>
      <c r="AI113" s="1">
        <f t="shared" si="8"/>
        <v>299519.93869255483</v>
      </c>
      <c r="AJ113" s="31">
        <f>VLOOKUP(AH113,'Hazard Weighting Functions'!$B$5:$G$1205,3,FALSE)</f>
        <v>4.0000000000000001E-3</v>
      </c>
      <c r="AK113" s="31">
        <f t="shared" si="11"/>
        <v>1198.0797547702193</v>
      </c>
      <c r="AL113" s="31">
        <f t="shared" si="12"/>
        <v>5205.9103759349346</v>
      </c>
      <c r="AM113" s="32">
        <f>VLOOKUP(AH113,'Hazard Weighting Functions'!$B$5:$G$1205,5,FALSE)</f>
        <v>0.95199999999999996</v>
      </c>
      <c r="AN113" s="32">
        <f>AM113*AI113</f>
        <v>285142.9816353122</v>
      </c>
      <c r="AO113" s="32">
        <f>0.5*(AH114-AH113)*(AN113+AN114)</f>
        <v>1387419.0672013445</v>
      </c>
    </row>
    <row r="114" spans="2:41">
      <c r="B114" s="32">
        <v>575</v>
      </c>
      <c r="C114" s="36"/>
      <c r="E114" s="32">
        <v>575</v>
      </c>
      <c r="F114" s="36">
        <v>294761.4652012515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Y114" s="32">
        <f t="shared" si="9"/>
        <v>575</v>
      </c>
      <c r="Z114" s="32">
        <f t="shared" si="10"/>
        <v>0</v>
      </c>
      <c r="AA114" s="31">
        <f>VLOOKUP(Y114,'Hazard Weighting Functions'!$B$5:$G$1205,3,FALSE)</f>
        <v>3.0000000000000001E-3</v>
      </c>
      <c r="AB114" s="31">
        <f>AA114*Z114</f>
        <v>0</v>
      </c>
      <c r="AC114" s="31">
        <f>0.5*(Y115-Y114)*(AB114+AB115)</f>
        <v>0</v>
      </c>
      <c r="AD114" s="31">
        <f>VLOOKUP(Y114,'Hazard Weighting Functions'!$B$5:$G$1205,5,FALSE)</f>
        <v>0.91539999999999999</v>
      </c>
      <c r="AE114" s="31">
        <f>AD114*Z114</f>
        <v>0</v>
      </c>
      <c r="AF114" s="31">
        <f>0.5*(Y115-Y114)*(AE114+AE115)</f>
        <v>0</v>
      </c>
      <c r="AH114" s="1">
        <f t="shared" si="7"/>
        <v>575</v>
      </c>
      <c r="AI114" s="1">
        <f t="shared" si="8"/>
        <v>294761.4652012515</v>
      </c>
      <c r="AJ114" s="31">
        <f>VLOOKUP(AH114,'Hazard Weighting Functions'!$B$5:$G$1205,3,FALSE)</f>
        <v>3.0000000000000001E-3</v>
      </c>
      <c r="AK114" s="31">
        <f t="shared" si="11"/>
        <v>884.28439560375455</v>
      </c>
      <c r="AL114" s="31">
        <f t="shared" si="12"/>
        <v>3636.2844042187498</v>
      </c>
      <c r="AM114" s="32">
        <f>VLOOKUP(AH114,'Hazard Weighting Functions'!$B$5:$G$1205,5,FALSE)</f>
        <v>0.91539999999999999</v>
      </c>
      <c r="AN114" s="32">
        <f>AM114*AI114</f>
        <v>269824.64524522563</v>
      </c>
      <c r="AO114" s="32">
        <f>0.5*(AH115-AH114)*(AN114+AN115)</f>
        <v>1294686.0487291375</v>
      </c>
    </row>
    <row r="115" spans="2:41">
      <c r="B115" s="32">
        <v>580</v>
      </c>
      <c r="C115" s="36"/>
      <c r="E115" s="32">
        <v>580</v>
      </c>
      <c r="F115" s="36">
        <v>285114.68304187275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Y115" s="32">
        <f t="shared" si="9"/>
        <v>580</v>
      </c>
      <c r="Z115" s="32">
        <f t="shared" si="10"/>
        <v>0</v>
      </c>
      <c r="AA115" s="31">
        <f>VLOOKUP(Y115,'Hazard Weighting Functions'!$B$5:$G$1205,3,FALSE)</f>
        <v>2E-3</v>
      </c>
      <c r="AB115" s="31">
        <f>AA115*Z115</f>
        <v>0</v>
      </c>
      <c r="AC115" s="31">
        <f>0.5*(Y116-Y115)*(AB115+AB116)</f>
        <v>0</v>
      </c>
      <c r="AD115" s="31">
        <f>VLOOKUP(Y115,'Hazard Weighting Functions'!$B$5:$G$1205,5,FALSE)</f>
        <v>0.87</v>
      </c>
      <c r="AE115" s="31">
        <f>AD115*Z115</f>
        <v>0</v>
      </c>
      <c r="AF115" s="31">
        <f>0.5*(Y116-Y115)*(AE115+AE116)</f>
        <v>0</v>
      </c>
      <c r="AH115" s="1">
        <f t="shared" si="7"/>
        <v>580</v>
      </c>
      <c r="AI115" s="1">
        <f t="shared" si="8"/>
        <v>285114.68304187275</v>
      </c>
      <c r="AJ115" s="31">
        <f>VLOOKUP(AH115,'Hazard Weighting Functions'!$B$5:$G$1205,3,FALSE)</f>
        <v>2E-3</v>
      </c>
      <c r="AK115" s="31">
        <f t="shared" si="11"/>
        <v>570.2293660837455</v>
      </c>
      <c r="AL115" s="31">
        <f t="shared" si="12"/>
        <v>2117.763297839454</v>
      </c>
      <c r="AM115" s="32">
        <f>VLOOKUP(AH115,'Hazard Weighting Functions'!$B$5:$G$1205,5,FALSE)</f>
        <v>0.87</v>
      </c>
      <c r="AN115" s="32">
        <f>AM115*AI115</f>
        <v>248049.7742464293</v>
      </c>
      <c r="AO115" s="32">
        <f>0.5*(AH116-AH115)*(AN115+AN116)</f>
        <v>1185159.036807016</v>
      </c>
    </row>
    <row r="116" spans="2:41">
      <c r="B116" s="32">
        <v>585</v>
      </c>
      <c r="C116" s="36"/>
      <c r="E116" s="32">
        <v>585</v>
      </c>
      <c r="F116" s="36">
        <v>276875.95305203617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Y116" s="32">
        <f t="shared" si="9"/>
        <v>585</v>
      </c>
      <c r="Z116" s="32">
        <f t="shared" si="10"/>
        <v>0</v>
      </c>
      <c r="AA116" s="31">
        <f>VLOOKUP(Y116,'Hazard Weighting Functions'!$B$5:$G$1205,3,FALSE)</f>
        <v>1E-3</v>
      </c>
      <c r="AB116" s="31">
        <f>AA116*Z116</f>
        <v>0</v>
      </c>
      <c r="AC116" s="31">
        <f>0.5*(Y117-Y116)*(AB116+AB117)</f>
        <v>0</v>
      </c>
      <c r="AD116" s="31">
        <f>VLOOKUP(Y116,'Hazard Weighting Functions'!$B$5:$G$1205,5,FALSE)</f>
        <v>0.81630000000000003</v>
      </c>
      <c r="AE116" s="31">
        <f>AD116*Z116</f>
        <v>0</v>
      </c>
      <c r="AF116" s="31">
        <f>0.5*(Y117-Y116)*(AE116+AE117)</f>
        <v>0</v>
      </c>
      <c r="AH116" s="1">
        <f t="shared" si="7"/>
        <v>585</v>
      </c>
      <c r="AI116" s="1">
        <f t="shared" si="8"/>
        <v>276875.95305203617</v>
      </c>
      <c r="AJ116" s="31">
        <f>VLOOKUP(AH116,'Hazard Weighting Functions'!$B$5:$G$1205,3,FALSE)</f>
        <v>1E-3</v>
      </c>
      <c r="AK116" s="31">
        <f t="shared" si="11"/>
        <v>276.87595305203615</v>
      </c>
      <c r="AL116" s="31">
        <f t="shared" si="12"/>
        <v>1355.9398266679398</v>
      </c>
      <c r="AM116" s="32">
        <f>VLOOKUP(AH116,'Hazard Weighting Functions'!$B$5:$G$1205,5,FALSE)</f>
        <v>0.81630000000000003</v>
      </c>
      <c r="AN116" s="32">
        <f>AM116*AI116</f>
        <v>226013.84047637714</v>
      </c>
      <c r="AO116" s="32">
        <f>0.5*(AH117-AH116)*(AN116+AN117)</f>
        <v>1067493.3088275949</v>
      </c>
    </row>
    <row r="117" spans="2:41">
      <c r="B117" s="32">
        <v>590</v>
      </c>
      <c r="C117" s="36"/>
      <c r="E117" s="32">
        <v>590</v>
      </c>
      <c r="F117" s="36">
        <v>265499.97761513968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Y117" s="32">
        <f t="shared" si="9"/>
        <v>590</v>
      </c>
      <c r="Z117" s="32">
        <f t="shared" si="10"/>
        <v>0</v>
      </c>
      <c r="AA117" s="31">
        <f>VLOOKUP(Y117,'Hazard Weighting Functions'!$B$5:$G$1205,3,FALSE)</f>
        <v>1E-3</v>
      </c>
      <c r="AB117" s="31">
        <f>AA117*Z117</f>
        <v>0</v>
      </c>
      <c r="AC117" s="31">
        <f>0.5*(Y118-Y117)*(AB117+AB118)</f>
        <v>0</v>
      </c>
      <c r="AD117" s="31">
        <f>VLOOKUP(Y117,'Hazard Weighting Functions'!$B$5:$G$1205,5,FALSE)</f>
        <v>0.75700000000000001</v>
      </c>
      <c r="AE117" s="31">
        <f>AD117*Z117</f>
        <v>0</v>
      </c>
      <c r="AF117" s="31">
        <f>0.5*(Y118-Y117)*(AE117+AE118)</f>
        <v>0</v>
      </c>
      <c r="AH117" s="1">
        <f t="shared" si="7"/>
        <v>590</v>
      </c>
      <c r="AI117" s="1">
        <f t="shared" si="8"/>
        <v>265499.97761513968</v>
      </c>
      <c r="AJ117" s="31">
        <f>VLOOKUP(AH117,'Hazard Weighting Functions'!$B$5:$G$1205,3,FALSE)</f>
        <v>1E-3</v>
      </c>
      <c r="AK117" s="31">
        <f t="shared" si="11"/>
        <v>265.4999776151397</v>
      </c>
      <c r="AL117" s="31">
        <f t="shared" si="12"/>
        <v>1295.0279827810191</v>
      </c>
      <c r="AM117" s="32">
        <f>VLOOKUP(AH117,'Hazard Weighting Functions'!$B$5:$G$1205,5,FALSE)</f>
        <v>0.75700000000000001</v>
      </c>
      <c r="AN117" s="32">
        <f>AM117*AI117</f>
        <v>200983.48305466073</v>
      </c>
      <c r="AO117" s="32">
        <f>0.5*(AH118-AH117)*(AN117+AN118)</f>
        <v>941133.81675928074</v>
      </c>
    </row>
    <row r="118" spans="2:41">
      <c r="B118" s="32">
        <v>595</v>
      </c>
      <c r="C118" s="36"/>
      <c r="E118" s="32">
        <v>595</v>
      </c>
      <c r="F118" s="36">
        <v>252511.21549726801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Y118" s="32">
        <f t="shared" si="9"/>
        <v>595</v>
      </c>
      <c r="Z118" s="32">
        <f t="shared" si="10"/>
        <v>0</v>
      </c>
      <c r="AA118" s="31">
        <f>VLOOKUP(Y118,'Hazard Weighting Functions'!$B$5:$G$1205,3,FALSE)</f>
        <v>1E-3</v>
      </c>
      <c r="AB118" s="31">
        <f>AA118*Z118</f>
        <v>0</v>
      </c>
      <c r="AC118" s="31">
        <f>0.5*(Y119-Y118)*(AB118+AB119)</f>
        <v>0</v>
      </c>
      <c r="AD118" s="31">
        <f>VLOOKUP(Y118,'Hazard Weighting Functions'!$B$5:$G$1205,5,FALSE)</f>
        <v>0.69489999999999996</v>
      </c>
      <c r="AE118" s="31">
        <f>AD118*Z118</f>
        <v>0</v>
      </c>
      <c r="AF118" s="31">
        <f>0.5*(Y119-Y118)*(AE118+AE119)</f>
        <v>0</v>
      </c>
      <c r="AH118" s="1">
        <f t="shared" si="7"/>
        <v>595</v>
      </c>
      <c r="AI118" s="1">
        <f t="shared" si="8"/>
        <v>252511.21549726801</v>
      </c>
      <c r="AJ118" s="31">
        <f>VLOOKUP(AH118,'Hazard Weighting Functions'!$B$5:$G$1205,3,FALSE)</f>
        <v>1E-3</v>
      </c>
      <c r="AK118" s="31">
        <f t="shared" si="11"/>
        <v>252.51121549726801</v>
      </c>
      <c r="AL118" s="31">
        <f t="shared" si="12"/>
        <v>1234.0012176987145</v>
      </c>
      <c r="AM118" s="32">
        <f>VLOOKUP(AH118,'Hazard Weighting Functions'!$B$5:$G$1205,5,FALSE)</f>
        <v>0.69489999999999996</v>
      </c>
      <c r="AN118" s="32">
        <f>AM118*AI118</f>
        <v>175470.04364905154</v>
      </c>
      <c r="AO118" s="32">
        <f>0.5*(AH119-AH118)*(AN118+AN119)</f>
        <v>818993.43504357734</v>
      </c>
    </row>
    <row r="119" spans="2:41">
      <c r="B119" s="32">
        <v>600</v>
      </c>
      <c r="C119" s="36"/>
      <c r="E119" s="32">
        <v>600</v>
      </c>
      <c r="F119" s="36">
        <v>241089.27158221777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Y119" s="32">
        <f t="shared" si="9"/>
        <v>600</v>
      </c>
      <c r="Z119" s="32">
        <f t="shared" si="10"/>
        <v>0</v>
      </c>
      <c r="AA119" s="31">
        <f>VLOOKUP(Y119,'Hazard Weighting Functions'!$B$5:$G$1205,3,FALSE)</f>
        <v>1E-3</v>
      </c>
      <c r="AB119" s="31">
        <f>AA119*Z119</f>
        <v>0</v>
      </c>
      <c r="AC119" s="31">
        <f>0.5*(Y120-Y119)*(AB119+AB120)</f>
        <v>0</v>
      </c>
      <c r="AD119" s="31">
        <f>VLOOKUP(Y119,'Hazard Weighting Functions'!$B$5:$G$1205,5,FALSE)</f>
        <v>0.63100000000000001</v>
      </c>
      <c r="AE119" s="31">
        <f>AD119*Z119</f>
        <v>0</v>
      </c>
      <c r="AF119" s="31">
        <f>0.5*(Y120-Y119)*(AE119+AE120)</f>
        <v>0</v>
      </c>
      <c r="AH119" s="1">
        <f t="shared" si="7"/>
        <v>600</v>
      </c>
      <c r="AI119" s="1">
        <f t="shared" si="8"/>
        <v>241089.27158221777</v>
      </c>
      <c r="AJ119" s="31">
        <f>VLOOKUP(AH119,'Hazard Weighting Functions'!$B$5:$G$1205,3,FALSE)</f>
        <v>1E-3</v>
      </c>
      <c r="AK119" s="31">
        <f t="shared" si="11"/>
        <v>241.08927158221778</v>
      </c>
      <c r="AL119" s="31">
        <f t="shared" si="12"/>
        <v>1170.1248160026944</v>
      </c>
      <c r="AM119" s="32">
        <f>VLOOKUP(AH119,'Hazard Weighting Functions'!$B$5:$G$1205,5,FALSE)</f>
        <v>0.63100000000000001</v>
      </c>
      <c r="AN119" s="32">
        <f>AM119*AI119</f>
        <v>152127.33036837942</v>
      </c>
      <c r="AO119" s="32">
        <f>0.5*(AH120-AH119)*(AN119+AN120)</f>
        <v>701921.57379927323</v>
      </c>
    </row>
    <row r="120" spans="2:41">
      <c r="B120" s="32">
        <v>605</v>
      </c>
      <c r="C120" s="36"/>
      <c r="E120" s="32">
        <v>605</v>
      </c>
      <c r="F120" s="36">
        <v>226960.65481886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Y120" s="32">
        <f t="shared" si="9"/>
        <v>605</v>
      </c>
      <c r="Z120" s="32">
        <f t="shared" si="10"/>
        <v>0</v>
      </c>
      <c r="AA120" s="31">
        <f>VLOOKUP(Y120,'Hazard Weighting Functions'!$B$5:$G$1205,3,FALSE)</f>
        <v>1E-3</v>
      </c>
      <c r="AB120" s="31">
        <f>AA120*Z120</f>
        <v>0</v>
      </c>
      <c r="AC120" s="31">
        <f>0.5*(Y121-Y120)*(AB120+AB121)</f>
        <v>0</v>
      </c>
      <c r="AD120" s="31">
        <f>VLOOKUP(Y120,'Hazard Weighting Functions'!$B$5:$G$1205,5,FALSE)</f>
        <v>0.56679999999999997</v>
      </c>
      <c r="AE120" s="31">
        <f>AD120*Z120</f>
        <v>0</v>
      </c>
      <c r="AF120" s="31">
        <f>0.5*(Y121-Y120)*(AE120+AE121)</f>
        <v>0</v>
      </c>
      <c r="AH120" s="1">
        <f t="shared" si="7"/>
        <v>605</v>
      </c>
      <c r="AI120" s="1">
        <f t="shared" si="8"/>
        <v>226960.65481886</v>
      </c>
      <c r="AJ120" s="31">
        <f>VLOOKUP(AH120,'Hazard Weighting Functions'!$B$5:$G$1205,3,FALSE)</f>
        <v>1E-3</v>
      </c>
      <c r="AK120" s="31">
        <f t="shared" si="11"/>
        <v>226.96065481886001</v>
      </c>
      <c r="AL120" s="31">
        <f t="shared" si="12"/>
        <v>1095.7383351462956</v>
      </c>
      <c r="AM120" s="32">
        <f>VLOOKUP(AH120,'Hazard Weighting Functions'!$B$5:$G$1205,5,FALSE)</f>
        <v>0.56679999999999997</v>
      </c>
      <c r="AN120" s="32">
        <f>AM120*AI120</f>
        <v>128641.29915132985</v>
      </c>
      <c r="AO120" s="32">
        <f>0.5*(AH121-AH120)*(AN120+AN121)</f>
        <v>587356.60702219489</v>
      </c>
    </row>
    <row r="121" spans="2:41">
      <c r="B121" s="32">
        <v>610</v>
      </c>
      <c r="C121" s="36"/>
      <c r="E121" s="32">
        <v>610</v>
      </c>
      <c r="F121" s="36">
        <v>211334.67923965826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Y121" s="32">
        <f t="shared" si="9"/>
        <v>610</v>
      </c>
      <c r="Z121" s="32">
        <f t="shared" si="10"/>
        <v>0</v>
      </c>
      <c r="AA121" s="31">
        <f>VLOOKUP(Y121,'Hazard Weighting Functions'!$B$5:$G$1205,3,FALSE)</f>
        <v>1E-3</v>
      </c>
      <c r="AB121" s="31">
        <f>AA121*Z121</f>
        <v>0</v>
      </c>
      <c r="AC121" s="31">
        <f>0.5*(Y122-Y121)*(AB121+AB122)</f>
        <v>0</v>
      </c>
      <c r="AD121" s="31">
        <f>VLOOKUP(Y121,'Hazard Weighting Functions'!$B$5:$G$1205,5,FALSE)</f>
        <v>0.503</v>
      </c>
      <c r="AE121" s="31">
        <f>AD121*Z121</f>
        <v>0</v>
      </c>
      <c r="AF121" s="31">
        <f>0.5*(Y122-Y121)*(AE121+AE122)</f>
        <v>0</v>
      </c>
      <c r="AH121" s="1">
        <f t="shared" si="7"/>
        <v>610</v>
      </c>
      <c r="AI121" s="1">
        <f t="shared" si="8"/>
        <v>211334.67923965826</v>
      </c>
      <c r="AJ121" s="31">
        <f>VLOOKUP(AH121,'Hazard Weighting Functions'!$B$5:$G$1205,3,FALSE)</f>
        <v>1E-3</v>
      </c>
      <c r="AK121" s="31">
        <f t="shared" si="11"/>
        <v>211.33467923965827</v>
      </c>
      <c r="AL121" s="31">
        <f t="shared" si="12"/>
        <v>1015.4629913413521</v>
      </c>
      <c r="AM121" s="32">
        <f>VLOOKUP(AH121,'Hazard Weighting Functions'!$B$5:$G$1205,5,FALSE)</f>
        <v>0.503</v>
      </c>
      <c r="AN121" s="32">
        <f>AM121*AI121</f>
        <v>106301.3436575481</v>
      </c>
      <c r="AO121" s="32">
        <f>0.5*(AH122-AH121)*(AN121+AN122)</f>
        <v>480673.47972233169</v>
      </c>
    </row>
    <row r="122" spans="2:41">
      <c r="B122" s="32">
        <v>615</v>
      </c>
      <c r="C122" s="36"/>
      <c r="E122" s="32">
        <v>615</v>
      </c>
      <c r="F122" s="36">
        <v>194850.51729688255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Y122" s="32">
        <f t="shared" si="9"/>
        <v>615</v>
      </c>
      <c r="Z122" s="32">
        <f t="shared" si="10"/>
        <v>0</v>
      </c>
      <c r="AA122" s="31">
        <f>VLOOKUP(Y122,'Hazard Weighting Functions'!$B$5:$G$1205,3,FALSE)</f>
        <v>1E-3</v>
      </c>
      <c r="AB122" s="31">
        <f>AA122*Z122</f>
        <v>0</v>
      </c>
      <c r="AC122" s="31">
        <f>0.5*(Y123-Y122)*(AB122+AB123)</f>
        <v>0</v>
      </c>
      <c r="AD122" s="31">
        <f>VLOOKUP(Y122,'Hazard Weighting Functions'!$B$5:$G$1205,5,FALSE)</f>
        <v>0.44119999999999998</v>
      </c>
      <c r="AE122" s="31">
        <f>AD122*Z122</f>
        <v>0</v>
      </c>
      <c r="AF122" s="31">
        <f>0.5*(Y123-Y122)*(AE122+AE123)</f>
        <v>0</v>
      </c>
      <c r="AH122" s="1">
        <f t="shared" si="7"/>
        <v>615</v>
      </c>
      <c r="AI122" s="1">
        <f t="shared" si="8"/>
        <v>194850.51729688255</v>
      </c>
      <c r="AJ122" s="31">
        <f>VLOOKUP(AH122,'Hazard Weighting Functions'!$B$5:$G$1205,3,FALSE)</f>
        <v>1E-3</v>
      </c>
      <c r="AK122" s="31">
        <f t="shared" si="11"/>
        <v>194.85051729688254</v>
      </c>
      <c r="AL122" s="31">
        <f t="shared" si="12"/>
        <v>939.2394284885338</v>
      </c>
      <c r="AM122" s="32">
        <f>VLOOKUP(AH122,'Hazard Weighting Functions'!$B$5:$G$1205,5,FALSE)</f>
        <v>0.44119999999999998</v>
      </c>
      <c r="AN122" s="32">
        <f>AM122*AI122</f>
        <v>85968.048231384571</v>
      </c>
      <c r="AO122" s="32">
        <f>0.5*(AH123-AH122)*(AN122+AN123)</f>
        <v>387175.2251073122</v>
      </c>
    </row>
    <row r="123" spans="2:41">
      <c r="B123" s="32">
        <v>620</v>
      </c>
      <c r="C123" s="36"/>
      <c r="E123" s="32">
        <v>620</v>
      </c>
      <c r="F123" s="36">
        <v>180845.254098531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Y123" s="32">
        <f t="shared" si="9"/>
        <v>620</v>
      </c>
      <c r="Z123" s="32">
        <f t="shared" si="10"/>
        <v>0</v>
      </c>
      <c r="AA123" s="31">
        <f>VLOOKUP(Y123,'Hazard Weighting Functions'!$B$5:$G$1205,3,FALSE)</f>
        <v>1E-3</v>
      </c>
      <c r="AB123" s="31">
        <f>AA123*Z123</f>
        <v>0</v>
      </c>
      <c r="AC123" s="31">
        <f>0.5*(Y124-Y123)*(AB123+AB124)</f>
        <v>0</v>
      </c>
      <c r="AD123" s="31">
        <f>VLOOKUP(Y123,'Hazard Weighting Functions'!$B$5:$G$1205,5,FALSE)</f>
        <v>0.38100000000000001</v>
      </c>
      <c r="AE123" s="31">
        <f>AD123*Z123</f>
        <v>0</v>
      </c>
      <c r="AF123" s="31">
        <f>0.5*(Y124-Y123)*(AE123+AE124)</f>
        <v>0</v>
      </c>
      <c r="AH123" s="1">
        <f t="shared" si="7"/>
        <v>620</v>
      </c>
      <c r="AI123" s="1">
        <f t="shared" si="8"/>
        <v>180845.254098531</v>
      </c>
      <c r="AJ123" s="31">
        <f>VLOOKUP(AH123,'Hazard Weighting Functions'!$B$5:$G$1205,3,FALSE)</f>
        <v>1E-3</v>
      </c>
      <c r="AK123" s="31">
        <f t="shared" si="11"/>
        <v>180.845254098531</v>
      </c>
      <c r="AL123" s="31">
        <f t="shared" si="12"/>
        <v>869.1658030865201</v>
      </c>
      <c r="AM123" s="32">
        <f>VLOOKUP(AH123,'Hazard Weighting Functions'!$B$5:$G$1205,5,FALSE)</f>
        <v>0.38100000000000001</v>
      </c>
      <c r="AN123" s="32">
        <f>AM123*AI123</f>
        <v>68902.041811540315</v>
      </c>
      <c r="AO123" s="32">
        <f>0.5*(AH124-AH123)*(AN123+AN124)</f>
        <v>306129.01090555266</v>
      </c>
    </row>
    <row r="124" spans="2:41">
      <c r="B124" s="32">
        <v>625</v>
      </c>
      <c r="C124" s="36"/>
      <c r="E124" s="32">
        <v>625</v>
      </c>
      <c r="F124" s="36">
        <v>166821.06713607709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Y124" s="32">
        <f t="shared" si="9"/>
        <v>625</v>
      </c>
      <c r="Z124" s="32">
        <f t="shared" si="10"/>
        <v>0</v>
      </c>
      <c r="AA124" s="31">
        <f>VLOOKUP(Y124,'Hazard Weighting Functions'!$B$5:$G$1205,3,FALSE)</f>
        <v>1E-3</v>
      </c>
      <c r="AB124" s="31">
        <f>AA124*Z124</f>
        <v>0</v>
      </c>
      <c r="AC124" s="31">
        <f>0.5*(Y125-Y124)*(AB124+AB125)</f>
        <v>0</v>
      </c>
      <c r="AD124" s="31">
        <f>VLOOKUP(Y124,'Hazard Weighting Functions'!$B$5:$G$1205,5,FALSE)</f>
        <v>0.32100000000000001</v>
      </c>
      <c r="AE124" s="31">
        <f>AD124*Z124</f>
        <v>0</v>
      </c>
      <c r="AF124" s="31">
        <f>0.5*(Y125-Y124)*(AE124+AE125)</f>
        <v>0</v>
      </c>
      <c r="AH124" s="1">
        <f t="shared" si="7"/>
        <v>625</v>
      </c>
      <c r="AI124" s="1">
        <f t="shared" si="8"/>
        <v>166821.06713607709</v>
      </c>
      <c r="AJ124" s="31">
        <f>VLOOKUP(AH124,'Hazard Weighting Functions'!$B$5:$G$1205,3,FALSE)</f>
        <v>1E-3</v>
      </c>
      <c r="AK124" s="31">
        <f t="shared" si="11"/>
        <v>166.82106713607709</v>
      </c>
      <c r="AL124" s="31">
        <f t="shared" si="12"/>
        <v>800.45964599671811</v>
      </c>
      <c r="AM124" s="32">
        <f>VLOOKUP(AH124,'Hazard Weighting Functions'!$B$5:$G$1205,5,FALSE)</f>
        <v>0.32100000000000001</v>
      </c>
      <c r="AN124" s="32">
        <f>AM124*AI124</f>
        <v>53549.562550680748</v>
      </c>
      <c r="AO124" s="32">
        <f>0.5*(AH125-AH124)*(AN124+AN125)</f>
        <v>235476.75558818108</v>
      </c>
    </row>
    <row r="125" spans="2:41">
      <c r="B125" s="32">
        <v>630</v>
      </c>
      <c r="C125" s="36"/>
      <c r="E125" s="32">
        <v>630</v>
      </c>
      <c r="F125" s="36">
        <v>153362.79126261012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Y125" s="32">
        <f t="shared" si="9"/>
        <v>630</v>
      </c>
      <c r="Z125" s="32">
        <f t="shared" si="10"/>
        <v>0</v>
      </c>
      <c r="AA125" s="31">
        <f>VLOOKUP(Y125,'Hazard Weighting Functions'!$B$5:$G$1205,3,FALSE)</f>
        <v>1E-3</v>
      </c>
      <c r="AB125" s="31">
        <f>AA125*Z125</f>
        <v>0</v>
      </c>
      <c r="AC125" s="31">
        <f>0.5*(Y126-Y125)*(AB125+AB126)</f>
        <v>0</v>
      </c>
      <c r="AD125" s="31">
        <f>VLOOKUP(Y125,'Hazard Weighting Functions'!$B$5:$G$1205,5,FALSE)</f>
        <v>0.26500000000000001</v>
      </c>
      <c r="AE125" s="31">
        <f>AD125*Z125</f>
        <v>0</v>
      </c>
      <c r="AF125" s="31">
        <f>0.5*(Y126-Y125)*(AE125+AE126)</f>
        <v>0</v>
      </c>
      <c r="AH125" s="1">
        <f t="shared" si="7"/>
        <v>630</v>
      </c>
      <c r="AI125" s="1">
        <f t="shared" si="8"/>
        <v>153362.79126261012</v>
      </c>
      <c r="AJ125" s="31">
        <f>VLOOKUP(AH125,'Hazard Weighting Functions'!$B$5:$G$1205,3,FALSE)</f>
        <v>1E-3</v>
      </c>
      <c r="AK125" s="31">
        <f t="shared" si="11"/>
        <v>153.36279126261013</v>
      </c>
      <c r="AL125" s="31">
        <f t="shared" si="12"/>
        <v>734.13127440618018</v>
      </c>
      <c r="AM125" s="32">
        <f>VLOOKUP(AH125,'Hazard Weighting Functions'!$B$5:$G$1205,5,FALSE)</f>
        <v>0.26500000000000001</v>
      </c>
      <c r="AN125" s="32">
        <f>AM125*AI125</f>
        <v>40641.139684591682</v>
      </c>
      <c r="AO125" s="32">
        <f>0.5*(AH126-AH125)*(AN125+AN126)</f>
        <v>177710.02149765426</v>
      </c>
    </row>
    <row r="126" spans="2:41">
      <c r="B126" s="32">
        <v>635</v>
      </c>
      <c r="C126" s="36"/>
      <c r="E126" s="32">
        <v>635</v>
      </c>
      <c r="F126" s="36">
        <v>140289.71849986189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Y126" s="32">
        <f t="shared" si="9"/>
        <v>635</v>
      </c>
      <c r="Z126" s="32">
        <f t="shared" si="10"/>
        <v>0</v>
      </c>
      <c r="AA126" s="31">
        <f>VLOOKUP(Y126,'Hazard Weighting Functions'!$B$5:$G$1205,3,FALSE)</f>
        <v>1E-3</v>
      </c>
      <c r="AB126" s="31">
        <f>AA126*Z126</f>
        <v>0</v>
      </c>
      <c r="AC126" s="31">
        <f>0.5*(Y127-Y126)*(AB126+AB127)</f>
        <v>0</v>
      </c>
      <c r="AD126" s="31">
        <f>VLOOKUP(Y126,'Hazard Weighting Functions'!$B$5:$G$1205,5,FALSE)</f>
        <v>0.217</v>
      </c>
      <c r="AE126" s="31">
        <f>AD126*Z126</f>
        <v>0</v>
      </c>
      <c r="AF126" s="31">
        <f>0.5*(Y127-Y126)*(AE126+AE127)</f>
        <v>0</v>
      </c>
      <c r="AH126" s="1">
        <f t="shared" si="7"/>
        <v>635</v>
      </c>
      <c r="AI126" s="1">
        <f t="shared" si="8"/>
        <v>140289.71849986189</v>
      </c>
      <c r="AJ126" s="31">
        <f>VLOOKUP(AH126,'Hazard Weighting Functions'!$B$5:$G$1205,3,FALSE)</f>
        <v>1E-3</v>
      </c>
      <c r="AK126" s="31">
        <f t="shared" si="11"/>
        <v>140.28971849986189</v>
      </c>
      <c r="AL126" s="31">
        <f t="shared" si="12"/>
        <v>668.29758861631262</v>
      </c>
      <c r="AM126" s="32">
        <f>VLOOKUP(AH126,'Hazard Weighting Functions'!$B$5:$G$1205,5,FALSE)</f>
        <v>0.217</v>
      </c>
      <c r="AN126" s="32">
        <f>AM126*AI126</f>
        <v>30442.868914470029</v>
      </c>
      <c r="AO126" s="32">
        <f>0.5*(AH127-AH126)*(AN126+AN127)</f>
        <v>131682.49845034018</v>
      </c>
    </row>
    <row r="127" spans="2:41">
      <c r="B127" s="32">
        <v>640</v>
      </c>
      <c r="C127" s="36"/>
      <c r="E127" s="32">
        <v>640</v>
      </c>
      <c r="F127" s="36">
        <v>127029.31694666314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Y127" s="32">
        <f t="shared" si="9"/>
        <v>640</v>
      </c>
      <c r="Z127" s="32">
        <f t="shared" si="10"/>
        <v>0</v>
      </c>
      <c r="AA127" s="31">
        <f>VLOOKUP(Y127,'Hazard Weighting Functions'!$B$5:$G$1205,3,FALSE)</f>
        <v>1E-3</v>
      </c>
      <c r="AB127" s="31">
        <f>AA127*Z127</f>
        <v>0</v>
      </c>
      <c r="AC127" s="31">
        <f>0.5*(Y128-Y127)*(AB127+AB128)</f>
        <v>0</v>
      </c>
      <c r="AD127" s="31">
        <f>VLOOKUP(Y127,'Hazard Weighting Functions'!$B$5:$G$1205,5,FALSE)</f>
        <v>0.17499999999999999</v>
      </c>
      <c r="AE127" s="31">
        <f>AD127*Z127</f>
        <v>0</v>
      </c>
      <c r="AF127" s="31">
        <f>0.5*(Y128-Y127)*(AE127+AE128)</f>
        <v>0</v>
      </c>
      <c r="AH127" s="1">
        <f t="shared" si="7"/>
        <v>640</v>
      </c>
      <c r="AI127" s="1">
        <f t="shared" si="8"/>
        <v>127029.31694666314</v>
      </c>
      <c r="AJ127" s="31">
        <f>VLOOKUP(AH127,'Hazard Weighting Functions'!$B$5:$G$1205,3,FALSE)</f>
        <v>1E-3</v>
      </c>
      <c r="AK127" s="31">
        <f t="shared" si="11"/>
        <v>127.02931694666314</v>
      </c>
      <c r="AL127" s="31">
        <f t="shared" si="12"/>
        <v>606.24609485369035</v>
      </c>
      <c r="AM127" s="32">
        <f>VLOOKUP(AH127,'Hazard Weighting Functions'!$B$5:$G$1205,5,FALSE)</f>
        <v>0.17499999999999999</v>
      </c>
      <c r="AN127" s="32">
        <f>AM127*AI127</f>
        <v>22230.130465666047</v>
      </c>
      <c r="AO127" s="32">
        <f>0.5*(AH128-AH127)*(AN127+AN128)</f>
        <v>95469.90746787301</v>
      </c>
    </row>
    <row r="128" spans="2:41">
      <c r="B128" s="32">
        <v>645</v>
      </c>
      <c r="C128" s="36"/>
      <c r="E128" s="32">
        <v>645</v>
      </c>
      <c r="F128" s="36">
        <v>115469.12099481301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Y128" s="32">
        <f t="shared" si="9"/>
        <v>645</v>
      </c>
      <c r="Z128" s="32">
        <f t="shared" si="10"/>
        <v>0</v>
      </c>
      <c r="AA128" s="31">
        <f>VLOOKUP(Y128,'Hazard Weighting Functions'!$B$5:$G$1205,3,FALSE)</f>
        <v>1E-3</v>
      </c>
      <c r="AB128" s="31">
        <f>AA128*Z128</f>
        <v>0</v>
      </c>
      <c r="AC128" s="31">
        <f>0.5*(Y129-Y128)*(AB128+AB129)</f>
        <v>0</v>
      </c>
      <c r="AD128" s="31">
        <f>VLOOKUP(Y128,'Hazard Weighting Functions'!$B$5:$G$1205,5,FALSE)</f>
        <v>0.13819999999999999</v>
      </c>
      <c r="AE128" s="31">
        <f>AD128*Z128</f>
        <v>0</v>
      </c>
      <c r="AF128" s="31">
        <f>0.5*(Y129-Y128)*(AE128+AE129)</f>
        <v>0</v>
      </c>
      <c r="AH128" s="1">
        <f t="shared" si="7"/>
        <v>645</v>
      </c>
      <c r="AI128" s="1">
        <f t="shared" si="8"/>
        <v>115469.12099481301</v>
      </c>
      <c r="AJ128" s="31">
        <f>VLOOKUP(AH128,'Hazard Weighting Functions'!$B$5:$G$1205,3,FALSE)</f>
        <v>1E-3</v>
      </c>
      <c r="AK128" s="31">
        <f t="shared" si="11"/>
        <v>115.46912099481301</v>
      </c>
      <c r="AL128" s="31">
        <f t="shared" si="12"/>
        <v>550.02282502771106</v>
      </c>
      <c r="AM128" s="32">
        <f>VLOOKUP(AH128,'Hazard Weighting Functions'!$B$5:$G$1205,5,FALSE)</f>
        <v>0.13819999999999999</v>
      </c>
      <c r="AN128" s="32">
        <f>AM128*AI128</f>
        <v>15957.832521483157</v>
      </c>
      <c r="AO128" s="32">
        <f>0.5*(AH129-AH128)*(AN128+AN129)</f>
        <v>67859.033715560494</v>
      </c>
    </row>
    <row r="129" spans="2:41">
      <c r="B129" s="32">
        <v>650</v>
      </c>
      <c r="C129" s="36"/>
      <c r="E129" s="32">
        <v>650</v>
      </c>
      <c r="F129" s="36">
        <v>104540.0090162714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Y129" s="32">
        <f t="shared" si="9"/>
        <v>650</v>
      </c>
      <c r="Z129" s="32">
        <f t="shared" si="10"/>
        <v>0</v>
      </c>
      <c r="AA129" s="31">
        <f>VLOOKUP(Y129,'Hazard Weighting Functions'!$B$5:$G$1205,3,FALSE)</f>
        <v>1E-3</v>
      </c>
      <c r="AB129" s="31">
        <f>AA129*Z129</f>
        <v>0</v>
      </c>
      <c r="AC129" s="31">
        <f>0.5*(Y130-Y129)*(AB129+AB130)</f>
        <v>0</v>
      </c>
      <c r="AD129" s="31">
        <f>VLOOKUP(Y129,'Hazard Weighting Functions'!$B$5:$G$1205,5,FALSE)</f>
        <v>0.107</v>
      </c>
      <c r="AE129" s="31">
        <f>AD129*Z129</f>
        <v>0</v>
      </c>
      <c r="AF129" s="31">
        <f>0.5*(Y130-Y129)*(AE129+AE130)</f>
        <v>0</v>
      </c>
      <c r="AH129" s="1">
        <f t="shared" si="7"/>
        <v>650</v>
      </c>
      <c r="AI129" s="1">
        <f t="shared" si="8"/>
        <v>104540.0090162714</v>
      </c>
      <c r="AJ129" s="31">
        <f>VLOOKUP(AH129,'Hazard Weighting Functions'!$B$5:$G$1205,3,FALSE)</f>
        <v>1E-3</v>
      </c>
      <c r="AK129" s="31">
        <f t="shared" si="11"/>
        <v>104.54000901627141</v>
      </c>
      <c r="AL129" s="31">
        <f t="shared" si="12"/>
        <v>497.4546778325423</v>
      </c>
      <c r="AM129" s="32">
        <f>VLOOKUP(AH129,'Hazard Weighting Functions'!$B$5:$G$1205,5,FALSE)</f>
        <v>0.107</v>
      </c>
      <c r="AN129" s="32">
        <f>AM129*AI129</f>
        <v>11185.780964741039</v>
      </c>
      <c r="AO129" s="32">
        <f>0.5*(AH130-AH129)*(AN129+AN130)</f>
        <v>47230.59228366868</v>
      </c>
    </row>
    <row r="130" spans="2:41">
      <c r="B130" s="32">
        <v>655</v>
      </c>
      <c r="C130" s="36"/>
      <c r="E130" s="32">
        <v>655</v>
      </c>
      <c r="F130" s="36">
        <v>94441.862116745498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Y130" s="32">
        <f t="shared" si="9"/>
        <v>655</v>
      </c>
      <c r="Z130" s="32">
        <f t="shared" si="10"/>
        <v>0</v>
      </c>
      <c r="AA130" s="31">
        <f>VLOOKUP(Y130,'Hazard Weighting Functions'!$B$5:$G$1205,3,FALSE)</f>
        <v>1E-3</v>
      </c>
      <c r="AB130" s="31">
        <f>AA130*Z130</f>
        <v>0</v>
      </c>
      <c r="AC130" s="31">
        <f>0.5*(Y131-Y130)*(AB130+AB131)</f>
        <v>0</v>
      </c>
      <c r="AD130" s="31">
        <f>VLOOKUP(Y130,'Hazard Weighting Functions'!$B$5:$G$1205,5,FALSE)</f>
        <v>8.1600000000000006E-2</v>
      </c>
      <c r="AE130" s="31">
        <f>AD130*Z130</f>
        <v>0</v>
      </c>
      <c r="AF130" s="31">
        <f>0.5*(Y131-Y130)*(AE130+AE131)</f>
        <v>0</v>
      </c>
      <c r="AH130" s="1">
        <f t="shared" si="7"/>
        <v>655</v>
      </c>
      <c r="AI130" s="1">
        <f t="shared" si="8"/>
        <v>94441.862116745498</v>
      </c>
      <c r="AJ130" s="31">
        <f>VLOOKUP(AH130,'Hazard Weighting Functions'!$B$5:$G$1205,3,FALSE)</f>
        <v>1E-3</v>
      </c>
      <c r="AK130" s="31">
        <f t="shared" si="11"/>
        <v>94.441862116745497</v>
      </c>
      <c r="AL130" s="31">
        <f t="shared" si="12"/>
        <v>447.21132294187998</v>
      </c>
      <c r="AM130" s="32">
        <f>VLOOKUP(AH130,'Hazard Weighting Functions'!$B$5:$G$1205,5,FALSE)</f>
        <v>8.1600000000000006E-2</v>
      </c>
      <c r="AN130" s="32">
        <f>AM130*AI130</f>
        <v>7706.4559487264332</v>
      </c>
      <c r="AO130" s="32">
        <f>0.5*(AH131-AH130)*(AN130+AN131)</f>
        <v>32143.646598467065</v>
      </c>
    </row>
    <row r="131" spans="2:41">
      <c r="B131" s="32">
        <v>660</v>
      </c>
      <c r="C131" s="36"/>
      <c r="E131" s="32">
        <v>660</v>
      </c>
      <c r="F131" s="36">
        <v>84442.667060006468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Y131" s="32">
        <f t="shared" si="9"/>
        <v>660</v>
      </c>
      <c r="Z131" s="32">
        <f t="shared" si="10"/>
        <v>0</v>
      </c>
      <c r="AA131" s="31">
        <f>VLOOKUP(Y131,'Hazard Weighting Functions'!$B$5:$G$1205,3,FALSE)</f>
        <v>1E-3</v>
      </c>
      <c r="AB131" s="31">
        <f>AA131*Z131</f>
        <v>0</v>
      </c>
      <c r="AC131" s="31">
        <f>0.5*(Y132-Y131)*(AB131+AB132)</f>
        <v>0</v>
      </c>
      <c r="AD131" s="31">
        <f>VLOOKUP(Y131,'Hazard Weighting Functions'!$B$5:$G$1205,5,FALSE)</f>
        <v>6.0999999999999999E-2</v>
      </c>
      <c r="AE131" s="31">
        <f>AD131*Z131</f>
        <v>0</v>
      </c>
      <c r="AF131" s="31">
        <f>0.5*(Y132-Y131)*(AE131+AE132)</f>
        <v>0</v>
      </c>
      <c r="AH131" s="1">
        <f t="shared" si="7"/>
        <v>660</v>
      </c>
      <c r="AI131" s="1">
        <f t="shared" si="8"/>
        <v>84442.667060006468</v>
      </c>
      <c r="AJ131" s="31">
        <f>VLOOKUP(AH131,'Hazard Weighting Functions'!$B$5:$G$1205,3,FALSE)</f>
        <v>1E-3</v>
      </c>
      <c r="AK131" s="31">
        <f t="shared" si="11"/>
        <v>84.442667060006471</v>
      </c>
      <c r="AL131" s="31">
        <f t="shared" si="12"/>
        <v>399.95092775538234</v>
      </c>
      <c r="AM131" s="32">
        <f>VLOOKUP(AH131,'Hazard Weighting Functions'!$B$5:$G$1205,5,FALSE)</f>
        <v>6.0999999999999999E-2</v>
      </c>
      <c r="AN131" s="32">
        <f>AM131*AI131</f>
        <v>5151.0026906603944</v>
      </c>
      <c r="AO131" s="32">
        <f>0.5*(AH132-AH131)*(AN131+AN132)</f>
        <v>21296.18384214821</v>
      </c>
    </row>
    <row r="132" spans="2:41">
      <c r="B132" s="32">
        <v>665</v>
      </c>
      <c r="C132" s="36"/>
      <c r="E132" s="32">
        <v>665</v>
      </c>
      <c r="F132" s="36">
        <v>75537.704042146463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Y132" s="32">
        <f t="shared" si="9"/>
        <v>665</v>
      </c>
      <c r="Z132" s="32">
        <f t="shared" si="10"/>
        <v>0</v>
      </c>
      <c r="AA132" s="31">
        <f>VLOOKUP(Y132,'Hazard Weighting Functions'!$B$5:$G$1205,3,FALSE)</f>
        <v>1E-3</v>
      </c>
      <c r="AB132" s="31">
        <f>AA132*Z132</f>
        <v>0</v>
      </c>
      <c r="AC132" s="31">
        <f>0.5*(Y133-Y132)*(AB132+AB133)</f>
        <v>0</v>
      </c>
      <c r="AD132" s="31">
        <f>VLOOKUP(Y132,'Hazard Weighting Functions'!$B$5:$G$1205,5,FALSE)</f>
        <v>4.4580000000000002E-2</v>
      </c>
      <c r="AE132" s="31">
        <f>AD132*Z132</f>
        <v>0</v>
      </c>
      <c r="AF132" s="31">
        <f>0.5*(Y133-Y132)*(AE132+AE133)</f>
        <v>0</v>
      </c>
      <c r="AH132" s="1">
        <f t="shared" si="7"/>
        <v>665</v>
      </c>
      <c r="AI132" s="1">
        <f t="shared" si="8"/>
        <v>75537.704042146463</v>
      </c>
      <c r="AJ132" s="31">
        <f>VLOOKUP(AH132,'Hazard Weighting Functions'!$B$5:$G$1205,3,FALSE)</f>
        <v>1E-3</v>
      </c>
      <c r="AK132" s="31">
        <f t="shared" si="11"/>
        <v>75.537704042146459</v>
      </c>
      <c r="AL132" s="31">
        <f t="shared" si="12"/>
        <v>358.16403390674213</v>
      </c>
      <c r="AM132" s="32">
        <f>VLOOKUP(AH132,'Hazard Weighting Functions'!$B$5:$G$1205,5,FALSE)</f>
        <v>4.4580000000000002E-2</v>
      </c>
      <c r="AN132" s="32">
        <f>AM132*AI132</f>
        <v>3367.4708461988894</v>
      </c>
      <c r="AO132" s="32">
        <f>0.5*(AH133-AH132)*(AN132+AN133)</f>
        <v>13836.909877141257</v>
      </c>
    </row>
    <row r="133" spans="2:41">
      <c r="B133" s="32">
        <v>670</v>
      </c>
      <c r="C133" s="36"/>
      <c r="E133" s="32">
        <v>670</v>
      </c>
      <c r="F133" s="36">
        <v>67727.909520550398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Y133" s="32">
        <f t="shared" si="9"/>
        <v>670</v>
      </c>
      <c r="Z133" s="32">
        <f t="shared" si="10"/>
        <v>0</v>
      </c>
      <c r="AA133" s="31">
        <f>VLOOKUP(Y133,'Hazard Weighting Functions'!$B$5:$G$1205,3,FALSE)</f>
        <v>1E-3</v>
      </c>
      <c r="AB133" s="31">
        <f>AA133*Z133</f>
        <v>0</v>
      </c>
      <c r="AC133" s="31">
        <f>0.5*(Y134-Y133)*(AB133+AB134)</f>
        <v>0</v>
      </c>
      <c r="AD133" s="31">
        <f>VLOOKUP(Y133,'Hazard Weighting Functions'!$B$5:$G$1205,5,FALSE)</f>
        <v>3.2000000000000001E-2</v>
      </c>
      <c r="AE133" s="31">
        <f>AD133*Z133</f>
        <v>0</v>
      </c>
      <c r="AF133" s="31">
        <f>0.5*(Y134-Y133)*(AE133+AE134)</f>
        <v>0</v>
      </c>
      <c r="AH133" s="1">
        <f t="shared" si="7"/>
        <v>670</v>
      </c>
      <c r="AI133" s="1">
        <f t="shared" si="8"/>
        <v>67727.909520550398</v>
      </c>
      <c r="AJ133" s="31">
        <f>VLOOKUP(AH133,'Hazard Weighting Functions'!$B$5:$G$1205,3,FALSE)</f>
        <v>1E-3</v>
      </c>
      <c r="AK133" s="31">
        <f t="shared" si="11"/>
        <v>67.727909520550398</v>
      </c>
      <c r="AL133" s="31">
        <f t="shared" si="12"/>
        <v>319.56180913456751</v>
      </c>
      <c r="AM133" s="32">
        <f>VLOOKUP(AH133,'Hazard Weighting Functions'!$B$5:$G$1205,5,FALSE)</f>
        <v>3.2000000000000001E-2</v>
      </c>
      <c r="AN133" s="32">
        <f>AM133*AI133</f>
        <v>2167.2931046576127</v>
      </c>
      <c r="AO133" s="32">
        <f>0.5*(AH134-AH133)*(AN133+AN134)</f>
        <v>8903.8479813740742</v>
      </c>
    </row>
    <row r="134" spans="2:41">
      <c r="B134" s="32">
        <v>675</v>
      </c>
      <c r="C134" s="36"/>
      <c r="E134" s="32">
        <v>675</v>
      </c>
      <c r="F134" s="36">
        <v>60096.81413327661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Y134" s="32">
        <f t="shared" si="9"/>
        <v>675</v>
      </c>
      <c r="Z134" s="32">
        <f t="shared" si="10"/>
        <v>0</v>
      </c>
      <c r="AA134" s="31">
        <f>VLOOKUP(Y134,'Hazard Weighting Functions'!$B$5:$G$1205,3,FALSE)</f>
        <v>1E-3</v>
      </c>
      <c r="AB134" s="31">
        <f>AA134*Z134</f>
        <v>0</v>
      </c>
      <c r="AC134" s="31">
        <f>0.5*(Y135-Y134)*(AB134+AB135)</f>
        <v>0</v>
      </c>
      <c r="AD134" s="31">
        <f>VLOOKUP(Y134,'Hazard Weighting Functions'!$B$5:$G$1205,5,FALSE)</f>
        <v>2.3199999999999998E-2</v>
      </c>
      <c r="AE134" s="31">
        <f>AD134*Z134</f>
        <v>0</v>
      </c>
      <c r="AF134" s="31">
        <f>0.5*(Y135-Y134)*(AE134+AE135)</f>
        <v>0</v>
      </c>
      <c r="AH134" s="1">
        <f t="shared" si="7"/>
        <v>675</v>
      </c>
      <c r="AI134" s="1">
        <f t="shared" si="8"/>
        <v>60096.81413327661</v>
      </c>
      <c r="AJ134" s="31">
        <f>VLOOKUP(AH134,'Hazard Weighting Functions'!$B$5:$G$1205,3,FALSE)</f>
        <v>1E-3</v>
      </c>
      <c r="AK134" s="31">
        <f t="shared" si="11"/>
        <v>60.096814133276609</v>
      </c>
      <c r="AL134" s="31">
        <f t="shared" si="12"/>
        <v>284.19200281553759</v>
      </c>
      <c r="AM134" s="32">
        <f>VLOOKUP(AH134,'Hazard Weighting Functions'!$B$5:$G$1205,5,FALSE)</f>
        <v>2.3199999999999998E-2</v>
      </c>
      <c r="AN134" s="32">
        <f>AM134*AI134</f>
        <v>1394.2460878920172</v>
      </c>
      <c r="AO134" s="32">
        <f>0.5*(AH135-AH134)*(AN134+AN135)</f>
        <v>5762.7646669299265</v>
      </c>
    </row>
    <row r="135" spans="2:41">
      <c r="B135" s="32">
        <v>680</v>
      </c>
      <c r="C135" s="36"/>
      <c r="E135" s="32">
        <v>680</v>
      </c>
      <c r="F135" s="36">
        <v>53579.986992938429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Y135" s="32">
        <f t="shared" si="9"/>
        <v>680</v>
      </c>
      <c r="Z135" s="32">
        <f t="shared" si="10"/>
        <v>0</v>
      </c>
      <c r="AA135" s="31">
        <f>VLOOKUP(Y135,'Hazard Weighting Functions'!$B$5:$G$1205,3,FALSE)</f>
        <v>1E-3</v>
      </c>
      <c r="AB135" s="31">
        <f>AA135*Z135</f>
        <v>0</v>
      </c>
      <c r="AC135" s="31">
        <f>0.5*(Y136-Y135)*(AB135+AB136)</f>
        <v>0</v>
      </c>
      <c r="AD135" s="31">
        <f>VLOOKUP(Y135,'Hazard Weighting Functions'!$B$5:$G$1205,5,FALSE)</f>
        <v>1.7000000000000001E-2</v>
      </c>
      <c r="AE135" s="31">
        <f>AD135*Z135</f>
        <v>0</v>
      </c>
      <c r="AF135" s="31">
        <f>0.5*(Y136-Y135)*(AE135+AE136)</f>
        <v>0</v>
      </c>
      <c r="AH135" s="1">
        <f t="shared" si="7"/>
        <v>680</v>
      </c>
      <c r="AI135" s="1">
        <f t="shared" si="8"/>
        <v>53579.986992938429</v>
      </c>
      <c r="AJ135" s="31">
        <f>VLOOKUP(AH135,'Hazard Weighting Functions'!$B$5:$G$1205,3,FALSE)</f>
        <v>1E-3</v>
      </c>
      <c r="AK135" s="31">
        <f t="shared" si="11"/>
        <v>53.57998699293843</v>
      </c>
      <c r="AL135" s="31">
        <f t="shared" si="12"/>
        <v>252.66986376030559</v>
      </c>
      <c r="AM135" s="32">
        <f>VLOOKUP(AH135,'Hazard Weighting Functions'!$B$5:$G$1205,5,FALSE)</f>
        <v>1.7000000000000001E-2</v>
      </c>
      <c r="AN135" s="32">
        <f>AM135*AI135</f>
        <v>910.85977887995341</v>
      </c>
      <c r="AO135" s="32">
        <f>0.5*(AH136-AH135)*(AN135+AN136)</f>
        <v>3692.2906108331608</v>
      </c>
    </row>
    <row r="136" spans="2:41">
      <c r="B136" s="32">
        <v>685</v>
      </c>
      <c r="C136" s="36"/>
      <c r="E136" s="32">
        <v>685</v>
      </c>
      <c r="F136" s="36">
        <v>47487.958511183795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Y136" s="32">
        <f t="shared" si="9"/>
        <v>685</v>
      </c>
      <c r="Z136" s="32">
        <f t="shared" si="10"/>
        <v>0</v>
      </c>
      <c r="AA136" s="31">
        <f>VLOOKUP(Y136,'Hazard Weighting Functions'!$B$5:$G$1205,3,FALSE)</f>
        <v>1E-3</v>
      </c>
      <c r="AB136" s="31">
        <f>AA136*Z136</f>
        <v>0</v>
      </c>
      <c r="AC136" s="31">
        <f>0.5*(Y137-Y136)*(AB136+AB137)</f>
        <v>0</v>
      </c>
      <c r="AD136" s="31">
        <f>VLOOKUP(Y136,'Hazard Weighting Functions'!$B$5:$G$1205,5,FALSE)</f>
        <v>1.192E-2</v>
      </c>
      <c r="AE136" s="31">
        <f>AD136*Z136</f>
        <v>0</v>
      </c>
      <c r="AF136" s="31">
        <f>0.5*(Y137-Y136)*(AE136+AE137)</f>
        <v>0</v>
      </c>
      <c r="AH136" s="1">
        <f>E136</f>
        <v>685</v>
      </c>
      <c r="AI136" s="1">
        <f>F136</f>
        <v>47487.958511183795</v>
      </c>
      <c r="AJ136" s="31">
        <f>VLOOKUP(AH136,'Hazard Weighting Functions'!$B$5:$G$1205,3,FALSE)</f>
        <v>1E-3</v>
      </c>
      <c r="AK136" s="31">
        <f t="shared" si="11"/>
        <v>47.487958511183798</v>
      </c>
      <c r="AL136" s="31">
        <f t="shared" si="12"/>
        <v>224.37070827474258</v>
      </c>
      <c r="AM136" s="32">
        <f>VLOOKUP(AH136,'Hazard Weighting Functions'!$B$5:$G$1205,5,FALSE)</f>
        <v>1.192E-2</v>
      </c>
      <c r="AN136" s="32">
        <f>AM136*AI136</f>
        <v>566.05646545331081</v>
      </c>
      <c r="AO136" s="32">
        <f>0.5*(AH137-AH136)*(AN136+AN137)</f>
        <v>2282.5343301268663</v>
      </c>
    </row>
    <row r="137" spans="2:41">
      <c r="B137" s="32">
        <v>690</v>
      </c>
      <c r="C137" s="36"/>
      <c r="E137" s="32">
        <v>690</v>
      </c>
      <c r="F137" s="36">
        <v>42260.324798713242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Y137" s="32">
        <f t="shared" si="9"/>
        <v>690</v>
      </c>
      <c r="Z137" s="32">
        <f t="shared" si="10"/>
        <v>0</v>
      </c>
      <c r="AA137" s="31">
        <f>VLOOKUP(Y137,'Hazard Weighting Functions'!$B$5:$G$1205,3,FALSE)</f>
        <v>1E-3</v>
      </c>
      <c r="AB137" s="31">
        <f>AA137*Z137</f>
        <v>0</v>
      </c>
      <c r="AC137" s="31">
        <f>0.5*(Y138-Y137)*(AB137+AB138)</f>
        <v>0</v>
      </c>
      <c r="AD137" s="31">
        <f>VLOOKUP(Y137,'Hazard Weighting Functions'!$B$5:$G$1205,5,FALSE)</f>
        <v>8.2100000000000003E-3</v>
      </c>
      <c r="AE137" s="31">
        <f>AD137*Z137</f>
        <v>0</v>
      </c>
      <c r="AF137" s="31">
        <f>0.5*(Y138-Y137)*(AE137+AE138)</f>
        <v>0</v>
      </c>
      <c r="AH137" s="1">
        <f t="shared" ref="AH137:AH160" si="13">E137</f>
        <v>690</v>
      </c>
      <c r="AI137" s="1">
        <f t="shared" ref="AI137:AI160" si="14">F137</f>
        <v>42260.324798713242</v>
      </c>
      <c r="AJ137" s="31">
        <f>VLOOKUP(AH137,'Hazard Weighting Functions'!$B$5:$G$1205,3,FALSE)</f>
        <v>1E-3</v>
      </c>
      <c r="AK137" s="31">
        <f t="shared" si="11"/>
        <v>42.260324798713242</v>
      </c>
      <c r="AL137" s="31">
        <f t="shared" si="12"/>
        <v>197.72736324926291</v>
      </c>
      <c r="AM137" s="32">
        <f>VLOOKUP(AH137,'Hazard Weighting Functions'!$B$5:$G$1205,5,FALSE)</f>
        <v>8.2100000000000003E-3</v>
      </c>
      <c r="AN137" s="32">
        <f>AM137*AI137</f>
        <v>346.95726659743571</v>
      </c>
      <c r="AO137" s="32">
        <f>0.5*(AH138-AH137)*(AN137+AN138)</f>
        <v>1394.3472693115314</v>
      </c>
    </row>
    <row r="138" spans="2:41">
      <c r="B138" s="32">
        <v>695</v>
      </c>
      <c r="C138" s="36"/>
      <c r="E138" s="32">
        <v>695</v>
      </c>
      <c r="F138" s="36">
        <v>36830.620500991929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Y138" s="32">
        <f t="shared" si="9"/>
        <v>695</v>
      </c>
      <c r="Z138" s="32">
        <f t="shared" si="10"/>
        <v>0</v>
      </c>
      <c r="AA138" s="31">
        <f>VLOOKUP(Y138,'Hazard Weighting Functions'!$B$5:$G$1205,3,FALSE)</f>
        <v>1E-3</v>
      </c>
      <c r="AB138" s="31">
        <f>AA138*Z138</f>
        <v>0</v>
      </c>
      <c r="AC138" s="31">
        <f>0.5*(Y139-Y138)*(AB138+AB139)</f>
        <v>0</v>
      </c>
      <c r="AD138" s="31">
        <f>VLOOKUP(Y138,'Hazard Weighting Functions'!$B$5:$G$1205,5,FALSE)</f>
        <v>5.7229999999999998E-3</v>
      </c>
      <c r="AE138" s="31">
        <f>AD138*Z138</f>
        <v>0</v>
      </c>
      <c r="AF138" s="31">
        <f>0.5*(Y139-Y138)*(AE138+AE139)</f>
        <v>0</v>
      </c>
      <c r="AH138" s="1">
        <f t="shared" si="13"/>
        <v>695</v>
      </c>
      <c r="AI138" s="1">
        <f t="shared" si="14"/>
        <v>36830.620500991929</v>
      </c>
      <c r="AJ138" s="31">
        <f>VLOOKUP(AH138,'Hazard Weighting Functions'!$B$5:$G$1205,3,FALSE)</f>
        <v>1E-3</v>
      </c>
      <c r="AK138" s="31">
        <f t="shared" si="11"/>
        <v>36.830620500991927</v>
      </c>
      <c r="AL138" s="31">
        <f t="shared" si="12"/>
        <v>172.91186661856827</v>
      </c>
      <c r="AM138" s="32">
        <f>VLOOKUP(AH138,'Hazard Weighting Functions'!$B$5:$G$1205,5,FALSE)</f>
        <v>5.7229999999999998E-3</v>
      </c>
      <c r="AN138" s="32">
        <f>AM138*AI138</f>
        <v>210.78164112717681</v>
      </c>
      <c r="AO138" s="32">
        <f>0.5*(AH139-AH138)*(AN138+AN139)</f>
        <v>858.54056644963691</v>
      </c>
    </row>
    <row r="139" spans="2:41">
      <c r="B139" s="32">
        <v>700</v>
      </c>
      <c r="C139" s="36"/>
      <c r="E139" s="32">
        <v>700</v>
      </c>
      <c r="F139" s="36">
        <v>32334.126146435381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Y139" s="32">
        <f t="shared" si="9"/>
        <v>700</v>
      </c>
      <c r="Z139" s="32">
        <f t="shared" si="10"/>
        <v>0</v>
      </c>
      <c r="AA139" s="31">
        <f>VLOOKUP(Y139,'Hazard Weighting Functions'!$B$5:$G$1205,3,FALSE)</f>
        <v>1E-3</v>
      </c>
      <c r="AB139" s="31">
        <f>AA139*Z139</f>
        <v>0</v>
      </c>
      <c r="AD139" s="31">
        <f>VLOOKUP(Y139,'Hazard Weighting Functions'!$B$5:$G$1205,5,FALSE)</f>
        <v>4.1019999999999997E-3</v>
      </c>
      <c r="AE139" s="31">
        <f>AD139*Z139</f>
        <v>0</v>
      </c>
      <c r="AF139" s="31">
        <f>0.5*(Y140-Y139)*(AE139+AE140)</f>
        <v>0</v>
      </c>
      <c r="AH139" s="1">
        <f t="shared" si="13"/>
        <v>700</v>
      </c>
      <c r="AI139" s="1">
        <f t="shared" si="14"/>
        <v>32334.126146435381</v>
      </c>
      <c r="AJ139" s="31">
        <f>VLOOKUP(AH139,'Hazard Weighting Functions'!$B$5:$G$1205,3,FALSE)</f>
        <v>1E-3</v>
      </c>
      <c r="AK139" s="31">
        <f t="shared" si="11"/>
        <v>32.334126146435381</v>
      </c>
      <c r="AM139" s="32">
        <f>VLOOKUP(AH139,'Hazard Weighting Functions'!$B$5:$G$1205,5,FALSE)</f>
        <v>4.1019999999999997E-3</v>
      </c>
      <c r="AN139" s="32">
        <f t="shared" ref="AN139:AN155" si="15">AM139*AI139</f>
        <v>132.63458545267792</v>
      </c>
      <c r="AO139" s="32">
        <f t="shared" ref="AO139:AO154" si="16">0.5*(AH140-AH139)*(AN139+AN140)</f>
        <v>540.48508324741817</v>
      </c>
    </row>
    <row r="140" spans="2:41">
      <c r="B140" s="32">
        <v>705</v>
      </c>
      <c r="C140" s="36"/>
      <c r="E140" s="32">
        <v>705</v>
      </c>
      <c r="F140" s="36">
        <v>28528.319510511901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Y140" s="32">
        <f t="shared" si="9"/>
        <v>705</v>
      </c>
      <c r="Z140" s="32">
        <f t="shared" si="10"/>
        <v>0</v>
      </c>
      <c r="AA140" s="31">
        <f>VLOOKUP(Y140,'Hazard Weighting Functions'!$B$5:$G$1205,3,FALSE)</f>
        <v>0</v>
      </c>
      <c r="AB140" s="31">
        <f>AA140*Z140</f>
        <v>0</v>
      </c>
      <c r="AD140" s="31">
        <f>VLOOKUP(Y140,'Hazard Weighting Functions'!$B$5:$G$1205,5,FALSE)</f>
        <v>2.9290000000000002E-3</v>
      </c>
      <c r="AE140" s="31">
        <f>AD140*Z140</f>
        <v>0</v>
      </c>
      <c r="AF140" s="31">
        <f>0.5*(Y141-Y140)*(AE140+AE141)</f>
        <v>0</v>
      </c>
      <c r="AH140" s="1">
        <f t="shared" ref="AH140:AH153" si="17">E140</f>
        <v>705</v>
      </c>
      <c r="AI140" s="1">
        <f t="shared" ref="AI140:AI153" si="18">F140</f>
        <v>28528.319510511901</v>
      </c>
      <c r="AM140" s="32">
        <f>VLOOKUP(AH140,'Hazard Weighting Functions'!$B$5:$G$1205,5,FALSE)</f>
        <v>2.9290000000000002E-3</v>
      </c>
      <c r="AN140" s="32">
        <f t="shared" si="15"/>
        <v>83.559447846289359</v>
      </c>
      <c r="AO140" s="32">
        <f t="shared" si="16"/>
        <v>340.52971325381679</v>
      </c>
    </row>
    <row r="141" spans="2:41">
      <c r="B141" s="32">
        <v>710</v>
      </c>
      <c r="C141" s="36"/>
      <c r="E141" s="32">
        <v>710</v>
      </c>
      <c r="F141" s="36">
        <v>25180.505717473628</v>
      </c>
      <c r="H141" s="1"/>
      <c r="I141" s="22"/>
      <c r="J141" s="1"/>
      <c r="K141" s="1"/>
      <c r="L141" s="22"/>
      <c r="M141" s="1"/>
      <c r="N141" s="1"/>
      <c r="O141" s="22"/>
      <c r="P141" s="32"/>
      <c r="Q141" s="1"/>
      <c r="R141" s="22"/>
      <c r="S141" s="1"/>
      <c r="T141" s="1"/>
      <c r="Y141" s="32">
        <f t="shared" si="9"/>
        <v>710</v>
      </c>
      <c r="Z141" s="32">
        <f t="shared" si="10"/>
        <v>0</v>
      </c>
      <c r="AA141" s="31">
        <f>VLOOKUP(Y141,'Hazard Weighting Functions'!$B$5:$G$1205,3,FALSE)</f>
        <v>0</v>
      </c>
      <c r="AB141" s="31">
        <f>AA141*Z141</f>
        <v>0</v>
      </c>
      <c r="AD141" s="31">
        <f>VLOOKUP(Y141,'Hazard Weighting Functions'!$B$5:$G$1205,5,FALSE)</f>
        <v>2.091E-3</v>
      </c>
      <c r="AE141" s="31">
        <f>AD141*Z141</f>
        <v>0</v>
      </c>
      <c r="AF141" s="31">
        <f>0.5*(Y142-Y141)*(AE141+AE142)</f>
        <v>0</v>
      </c>
      <c r="AH141" s="1">
        <f t="shared" si="17"/>
        <v>710</v>
      </c>
      <c r="AI141" s="1">
        <f t="shared" si="18"/>
        <v>25180.505717473628</v>
      </c>
      <c r="AM141" s="32">
        <f>VLOOKUP(AH141,'Hazard Weighting Functions'!$B$5:$G$1205,5,FALSE)</f>
        <v>2.091E-3</v>
      </c>
      <c r="AN141" s="32">
        <f t="shared" si="15"/>
        <v>52.652437455237354</v>
      </c>
      <c r="AO141" s="32">
        <f t="shared" si="16"/>
        <v>213.78659135735845</v>
      </c>
    </row>
    <row r="142" spans="2:41">
      <c r="B142" s="32">
        <v>715</v>
      </c>
      <c r="C142" s="36"/>
      <c r="E142" s="32">
        <v>715</v>
      </c>
      <c r="F142" s="36">
        <v>22144.339007888157</v>
      </c>
      <c r="H142" s="1"/>
      <c r="I142" s="1"/>
      <c r="J142" s="1"/>
      <c r="K142" s="1"/>
      <c r="L142" s="1"/>
      <c r="M142" s="1"/>
      <c r="N142" s="1"/>
      <c r="O142" s="1"/>
      <c r="P142" s="32"/>
      <c r="Q142" s="1"/>
      <c r="R142" s="1"/>
      <c r="S142" s="1"/>
      <c r="T142" s="1"/>
      <c r="Y142" s="32">
        <f t="shared" si="9"/>
        <v>715</v>
      </c>
      <c r="Z142" s="32">
        <f t="shared" si="10"/>
        <v>0</v>
      </c>
      <c r="AA142" s="31">
        <f>VLOOKUP(Y142,'Hazard Weighting Functions'!$B$5:$G$1205,3,FALSE)</f>
        <v>0</v>
      </c>
      <c r="AB142" s="31">
        <f>AA142*Z142</f>
        <v>0</v>
      </c>
      <c r="AD142" s="31">
        <f>VLOOKUP(Y142,'Hazard Weighting Functions'!$B$5:$G$1205,5,FALSE)</f>
        <v>1.4840000000000001E-3</v>
      </c>
      <c r="AE142" s="31">
        <f>AD142*Z142</f>
        <v>0</v>
      </c>
      <c r="AF142" s="31">
        <f>0.5*(Y143-Y142)*(AE142+AE143)</f>
        <v>0</v>
      </c>
      <c r="AH142" s="1">
        <f t="shared" si="17"/>
        <v>715</v>
      </c>
      <c r="AI142" s="1">
        <f t="shared" si="18"/>
        <v>22144.339007888157</v>
      </c>
      <c r="AM142" s="32">
        <f>VLOOKUP(AH142,'Hazard Weighting Functions'!$B$5:$G$1205,5,FALSE)</f>
        <v>1.4840000000000001E-3</v>
      </c>
      <c r="AN142" s="32">
        <f t="shared" si="15"/>
        <v>32.862199087706024</v>
      </c>
      <c r="AO142" s="32">
        <f t="shared" si="16"/>
        <v>133.28143624746411</v>
      </c>
    </row>
    <row r="143" spans="2:41">
      <c r="B143" s="32">
        <v>720</v>
      </c>
      <c r="C143" s="36"/>
      <c r="E143" s="32">
        <v>720</v>
      </c>
      <c r="F143" s="36">
        <v>19532.354738566974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Y143" s="32">
        <f t="shared" si="9"/>
        <v>720</v>
      </c>
      <c r="Z143" s="32">
        <f t="shared" si="10"/>
        <v>0</v>
      </c>
      <c r="AA143" s="31">
        <f>VLOOKUP(Y143,'Hazard Weighting Functions'!$B$5:$G$1205,3,FALSE)</f>
        <v>0</v>
      </c>
      <c r="AB143" s="31">
        <f>AA143*Z143</f>
        <v>0</v>
      </c>
      <c r="AD143" s="31">
        <f>VLOOKUP(Y143,'Hazard Weighting Functions'!$B$5:$G$1205,5,FALSE)</f>
        <v>1.047E-3</v>
      </c>
      <c r="AE143" s="31">
        <f>AD143*Z143</f>
        <v>0</v>
      </c>
      <c r="AF143" s="31">
        <f>0.5*(Y144-Y143)*(AE143+AE144)</f>
        <v>0</v>
      </c>
      <c r="AH143" s="1">
        <f t="shared" si="17"/>
        <v>720</v>
      </c>
      <c r="AI143" s="1">
        <f t="shared" si="18"/>
        <v>19532.354738566974</v>
      </c>
      <c r="AM143" s="32">
        <f>VLOOKUP(AH143,'Hazard Weighting Functions'!$B$5:$G$1205,5,FALSE)</f>
        <v>1.047E-3</v>
      </c>
      <c r="AN143" s="32">
        <f t="shared" si="15"/>
        <v>20.450375411279619</v>
      </c>
      <c r="AO143" s="32">
        <f t="shared" si="16"/>
        <v>83.033753283787846</v>
      </c>
    </row>
    <row r="144" spans="2:41">
      <c r="B144" s="32">
        <v>725</v>
      </c>
      <c r="C144" s="36"/>
      <c r="E144" s="32">
        <v>725</v>
      </c>
      <c r="F144" s="36">
        <v>17247.467435453407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Y144" s="32">
        <f t="shared" si="9"/>
        <v>725</v>
      </c>
      <c r="Z144" s="32">
        <f t="shared" si="10"/>
        <v>0</v>
      </c>
      <c r="AA144" s="31">
        <f>VLOOKUP(Y144,'Hazard Weighting Functions'!$B$5:$G$1205,3,FALSE)</f>
        <v>0</v>
      </c>
      <c r="AB144" s="31">
        <f>AA144*Z144</f>
        <v>0</v>
      </c>
      <c r="AD144" s="31">
        <f>VLOOKUP(Y144,'Hazard Weighting Functions'!$B$5:$G$1205,5,FALSE)</f>
        <v>7.3999999999999999E-4</v>
      </c>
      <c r="AE144" s="31">
        <f>AD144*Z144</f>
        <v>0</v>
      </c>
      <c r="AF144" s="31">
        <f>0.5*(Y145-Y144)*(AE144+AE145)</f>
        <v>0</v>
      </c>
      <c r="AH144" s="1">
        <f t="shared" si="17"/>
        <v>725</v>
      </c>
      <c r="AI144" s="1">
        <f t="shared" si="18"/>
        <v>17247.467435453407</v>
      </c>
      <c r="AM144" s="32">
        <f>VLOOKUP(AH144,'Hazard Weighting Functions'!$B$5:$G$1205,5,FALSE)</f>
        <v>7.3999999999999999E-4</v>
      </c>
      <c r="AN144" s="32">
        <f t="shared" si="15"/>
        <v>12.763125902235521</v>
      </c>
      <c r="AO144" s="32">
        <f t="shared" si="16"/>
        <v>51.749521268635583</v>
      </c>
    </row>
    <row r="145" spans="2:41">
      <c r="B145" s="32">
        <v>730</v>
      </c>
      <c r="C145" s="36"/>
      <c r="E145" s="32">
        <v>730</v>
      </c>
      <c r="F145" s="36">
        <v>15262.85116388214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Y145" s="32">
        <f t="shared" si="9"/>
        <v>730</v>
      </c>
      <c r="Z145" s="32">
        <f t="shared" si="10"/>
        <v>0</v>
      </c>
      <c r="AA145" s="31">
        <f>VLOOKUP(Y145,'Hazard Weighting Functions'!$B$5:$G$1205,3,FALSE)</f>
        <v>0</v>
      </c>
      <c r="AB145" s="31">
        <f>AA145*Z145</f>
        <v>0</v>
      </c>
      <c r="AD145" s="31">
        <f>VLOOKUP(Y145,'Hazard Weighting Functions'!$B$5:$G$1205,5,FALSE)</f>
        <v>5.1999999999999995E-4</v>
      </c>
      <c r="AE145" s="31">
        <f>AD145*Z145</f>
        <v>0</v>
      </c>
      <c r="AF145" s="31">
        <f>0.5*(Y146-Y145)*(AE145+AE146)</f>
        <v>0</v>
      </c>
      <c r="AH145" s="1">
        <f t="shared" si="17"/>
        <v>730</v>
      </c>
      <c r="AI145" s="1">
        <f t="shared" si="18"/>
        <v>15262.85116388214</v>
      </c>
      <c r="AM145" s="32">
        <f>VLOOKUP(AH145,'Hazard Weighting Functions'!$B$5:$G$1205,5,FALSE)</f>
        <v>5.1999999999999995E-4</v>
      </c>
      <c r="AN145" s="32">
        <f t="shared" si="15"/>
        <v>7.9366826052187118</v>
      </c>
      <c r="AO145" s="32">
        <f t="shared" si="16"/>
        <v>31.967704664197456</v>
      </c>
    </row>
    <row r="146" spans="2:41">
      <c r="B146" s="32">
        <v>735</v>
      </c>
      <c r="C146" s="36"/>
      <c r="E146" s="32">
        <v>735</v>
      </c>
      <c r="F146" s="36">
        <v>13432.2881762954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Y146" s="32">
        <f t="shared" si="9"/>
        <v>735</v>
      </c>
      <c r="Z146" s="32">
        <f t="shared" si="10"/>
        <v>0</v>
      </c>
      <c r="AA146" s="31">
        <f>VLOOKUP(Y146,'Hazard Weighting Functions'!$B$5:$G$1205,3,FALSE)</f>
        <v>0</v>
      </c>
      <c r="AB146" s="31">
        <f>AA146*Z146</f>
        <v>0</v>
      </c>
      <c r="AD146" s="31">
        <f>VLOOKUP(Y146,'Hazard Weighting Functions'!$B$5:$G$1205,5,FALSE)</f>
        <v>3.611E-4</v>
      </c>
      <c r="AE146" s="31">
        <f>AD146*Z146</f>
        <v>0</v>
      </c>
      <c r="AF146" s="31">
        <f>0.5*(Y147-Y146)*(AE146+AE147)</f>
        <v>0</v>
      </c>
      <c r="AH146" s="1">
        <f t="shared" si="17"/>
        <v>735</v>
      </c>
      <c r="AI146" s="1">
        <f t="shared" si="18"/>
        <v>13432.2881762954</v>
      </c>
      <c r="AM146" s="32">
        <f>VLOOKUP(AH146,'Hazard Weighting Functions'!$B$5:$G$1205,5,FALSE)</f>
        <v>3.611E-4</v>
      </c>
      <c r="AN146" s="32">
        <f t="shared" si="15"/>
        <v>4.8503992604602688</v>
      </c>
      <c r="AO146" s="32">
        <f t="shared" si="16"/>
        <v>19.516976183234661</v>
      </c>
    </row>
    <row r="147" spans="2:41">
      <c r="B147" s="32">
        <v>740</v>
      </c>
      <c r="C147" s="36"/>
      <c r="E147" s="32">
        <v>740</v>
      </c>
      <c r="F147" s="36">
        <v>11863.528141386818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Y147" s="32">
        <f t="shared" si="9"/>
        <v>740</v>
      </c>
      <c r="Z147" s="32">
        <f t="shared" si="10"/>
        <v>0</v>
      </c>
      <c r="AA147" s="31">
        <f>VLOOKUP(Y147,'Hazard Weighting Functions'!$B$5:$G$1205,3,FALSE)</f>
        <v>0</v>
      </c>
      <c r="AB147" s="31">
        <f>AA147*Z147</f>
        <v>0</v>
      </c>
      <c r="AD147" s="31">
        <f>VLOOKUP(Y147,'Hazard Weighting Functions'!$B$5:$G$1205,5,FALSE)</f>
        <v>2.4919999999999999E-4</v>
      </c>
      <c r="AE147" s="31">
        <f>AD147*Z147</f>
        <v>0</v>
      </c>
      <c r="AF147" s="31">
        <f>0.5*(Y148-Y147)*(AE147+AE148)</f>
        <v>0</v>
      </c>
      <c r="AH147" s="1">
        <f t="shared" si="17"/>
        <v>740</v>
      </c>
      <c r="AI147" s="1">
        <f t="shared" si="18"/>
        <v>11863.528141386818</v>
      </c>
      <c r="AM147" s="32">
        <f>VLOOKUP(AH147,'Hazard Weighting Functions'!$B$5:$G$1205,5,FALSE)</f>
        <v>2.4919999999999999E-4</v>
      </c>
      <c r="AN147" s="32">
        <f t="shared" si="15"/>
        <v>2.9563912128335947</v>
      </c>
      <c r="AO147" s="32">
        <f t="shared" si="16"/>
        <v>11.87700926287182</v>
      </c>
    </row>
    <row r="148" spans="2:41">
      <c r="B148" s="32">
        <v>745</v>
      </c>
      <c r="C148" s="36"/>
      <c r="E148" s="32">
        <v>745</v>
      </c>
      <c r="F148" s="36">
        <v>10438.699780774479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Y148" s="32">
        <f t="shared" si="9"/>
        <v>745</v>
      </c>
      <c r="Z148" s="32">
        <f t="shared" si="10"/>
        <v>0</v>
      </c>
      <c r="AA148" s="31">
        <f>VLOOKUP(Y148,'Hazard Weighting Functions'!$B$5:$G$1205,3,FALSE)</f>
        <v>0</v>
      </c>
      <c r="AB148" s="31">
        <f>AA148*Z148</f>
        <v>0</v>
      </c>
      <c r="AD148" s="31">
        <f>VLOOKUP(Y148,'Hazard Weighting Functions'!$B$5:$G$1205,5,FALSE)</f>
        <v>1.719E-4</v>
      </c>
      <c r="AE148" s="31">
        <f>AD148*Z148</f>
        <v>0</v>
      </c>
      <c r="AF148" s="31">
        <f>0.5*(Y149-Y148)*(AE148+AE149)</f>
        <v>0</v>
      </c>
      <c r="AH148" s="1">
        <f t="shared" si="17"/>
        <v>745</v>
      </c>
      <c r="AI148" s="1">
        <f t="shared" si="18"/>
        <v>10438.699780774479</v>
      </c>
      <c r="AM148" s="32">
        <f>VLOOKUP(AH148,'Hazard Weighting Functions'!$B$5:$G$1205,5,FALSE)</f>
        <v>1.719E-4</v>
      </c>
      <c r="AN148" s="32">
        <f t="shared" si="15"/>
        <v>1.794412492315133</v>
      </c>
      <c r="AO148" s="32">
        <f t="shared" si="16"/>
        <v>7.2549921683955629</v>
      </c>
    </row>
    <row r="149" spans="2:41">
      <c r="B149" s="32">
        <v>750</v>
      </c>
      <c r="C149" s="36"/>
      <c r="E149" s="32">
        <v>750</v>
      </c>
      <c r="F149" s="36">
        <v>9229.8697920257691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Y149" s="32">
        <f t="shared" si="9"/>
        <v>750</v>
      </c>
      <c r="Z149" s="32">
        <f t="shared" si="10"/>
        <v>0</v>
      </c>
      <c r="AA149" s="31">
        <f>VLOOKUP(Y149,'Hazard Weighting Functions'!$B$5:$G$1205,3,FALSE)</f>
        <v>0</v>
      </c>
      <c r="AB149" s="31">
        <f>AA149*Z149</f>
        <v>0</v>
      </c>
      <c r="AD149" s="31">
        <f>VLOOKUP(Y149,'Hazard Weighting Functions'!$B$5:$G$1205,5,FALSE)</f>
        <v>1.2E-4</v>
      </c>
      <c r="AE149" s="31">
        <f>AD149*Z149</f>
        <v>0</v>
      </c>
      <c r="AF149" s="31">
        <f>0.5*(Y150-Y149)*(AE149+AE150)</f>
        <v>0</v>
      </c>
      <c r="AH149" s="1">
        <f t="shared" si="17"/>
        <v>750</v>
      </c>
      <c r="AI149" s="1">
        <f t="shared" si="18"/>
        <v>9229.8697920257691</v>
      </c>
      <c r="AM149" s="32">
        <f>VLOOKUP(AH149,'Hazard Weighting Functions'!$B$5:$G$1205,5,FALSE)</f>
        <v>1.2E-4</v>
      </c>
      <c r="AN149" s="32">
        <f t="shared" si="15"/>
        <v>1.1075843750430923</v>
      </c>
      <c r="AO149" s="32">
        <f t="shared" si="16"/>
        <v>4.4951979330124079</v>
      </c>
    </row>
    <row r="150" spans="2:41">
      <c r="B150" s="32">
        <v>755</v>
      </c>
      <c r="C150" s="36"/>
      <c r="E150" s="32">
        <v>755</v>
      </c>
      <c r="F150" s="36">
        <v>8142.6273368145139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Y150" s="32">
        <f t="shared" si="9"/>
        <v>755</v>
      </c>
      <c r="Z150" s="32">
        <f t="shared" si="10"/>
        <v>0</v>
      </c>
      <c r="AA150" s="31">
        <f>VLOOKUP(Y150,'Hazard Weighting Functions'!$B$5:$G$1205,3,FALSE)</f>
        <v>0</v>
      </c>
      <c r="AB150" s="31">
        <f>AA150*Z150</f>
        <v>0</v>
      </c>
      <c r="AD150" s="31">
        <f>VLOOKUP(Y150,'Hazard Weighting Functions'!$B$5:$G$1205,5,FALSE)</f>
        <v>8.4800000000000001E-5</v>
      </c>
      <c r="AE150" s="31">
        <f>AD150*Z150</f>
        <v>0</v>
      </c>
      <c r="AF150" s="31">
        <f>0.5*(Y151-Y150)*(AE150+AE151)</f>
        <v>0</v>
      </c>
      <c r="AH150" s="1">
        <f t="shared" si="17"/>
        <v>755</v>
      </c>
      <c r="AI150" s="1">
        <f t="shared" si="18"/>
        <v>8142.6273368145139</v>
      </c>
      <c r="AM150" s="32">
        <f>VLOOKUP(AH150,'Hazard Weighting Functions'!$B$5:$G$1205,5,FALSE)</f>
        <v>8.4800000000000001E-5</v>
      </c>
      <c r="AN150" s="32">
        <f t="shared" si="15"/>
        <v>0.69049479816187076</v>
      </c>
      <c r="AO150" s="32">
        <f t="shared" si="16"/>
        <v>2.7963681903919477</v>
      </c>
    </row>
    <row r="151" spans="2:41">
      <c r="B151" s="32">
        <v>760</v>
      </c>
      <c r="C151" s="36"/>
      <c r="E151" s="32">
        <v>760</v>
      </c>
      <c r="F151" s="36">
        <v>7134.2079665818055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Y151" s="32">
        <f t="shared" si="9"/>
        <v>760</v>
      </c>
      <c r="Z151" s="32">
        <f t="shared" si="10"/>
        <v>0</v>
      </c>
      <c r="AA151" s="31">
        <f>VLOOKUP(Y151,'Hazard Weighting Functions'!$B$5:$G$1205,3,FALSE)</f>
        <v>0</v>
      </c>
      <c r="AB151" s="31">
        <f>AA151*Z151</f>
        <v>0</v>
      </c>
      <c r="AD151" s="31">
        <f>VLOOKUP(Y151,'Hazard Weighting Functions'!$B$5:$G$1205,5,FALSE)</f>
        <v>6.0000000000000002E-5</v>
      </c>
      <c r="AE151" s="31">
        <f>AD151*Z151</f>
        <v>0</v>
      </c>
      <c r="AF151" s="31">
        <f>0.5*(Y152-Y151)*(AE151+AE152)</f>
        <v>0</v>
      </c>
      <c r="AH151" s="1">
        <f t="shared" si="17"/>
        <v>760</v>
      </c>
      <c r="AI151" s="1">
        <f t="shared" si="18"/>
        <v>7134.2079665818055</v>
      </c>
      <c r="AM151" s="32">
        <f>VLOOKUP(AH151,'Hazard Weighting Functions'!$B$5:$G$1205,5,FALSE)</f>
        <v>6.0000000000000002E-5</v>
      </c>
      <c r="AN151" s="32">
        <f t="shared" si="15"/>
        <v>0.42805247799490836</v>
      </c>
      <c r="AO151" s="32">
        <f t="shared" si="16"/>
        <v>1.7365464216510107</v>
      </c>
    </row>
    <row r="152" spans="2:41">
      <c r="B152" s="32">
        <v>765</v>
      </c>
      <c r="C152" s="36"/>
      <c r="E152" s="32">
        <v>765</v>
      </c>
      <c r="F152" s="36">
        <v>6286.9361006013196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Y152" s="32">
        <f t="shared" si="9"/>
        <v>765</v>
      </c>
      <c r="Z152" s="32">
        <f t="shared" si="10"/>
        <v>0</v>
      </c>
      <c r="AA152" s="31">
        <f>VLOOKUP(Y152,'Hazard Weighting Functions'!$B$5:$G$1205,3,FALSE)</f>
        <v>0</v>
      </c>
      <c r="AB152" s="31">
        <f>AA152*Z152</f>
        <v>0</v>
      </c>
      <c r="AD152" s="31">
        <f>VLOOKUP(Y152,'Hazard Weighting Functions'!$B$5:$G$1205,5,FALSE)</f>
        <v>4.2400000000000001E-5</v>
      </c>
      <c r="AE152" s="31">
        <f>AD152*Z152</f>
        <v>0</v>
      </c>
      <c r="AF152" s="31">
        <f>0.5*(Y153-Y152)*(AE152+AE153)</f>
        <v>0</v>
      </c>
      <c r="AH152" s="1">
        <f t="shared" si="17"/>
        <v>765</v>
      </c>
      <c r="AI152" s="1">
        <f t="shared" si="18"/>
        <v>6286.9361006013196</v>
      </c>
      <c r="AM152" s="32">
        <f>VLOOKUP(AH152,'Hazard Weighting Functions'!$B$5:$G$1205,5,FALSE)</f>
        <v>4.2400000000000001E-5</v>
      </c>
      <c r="AN152" s="32">
        <f t="shared" si="15"/>
        <v>0.26656609066549597</v>
      </c>
      <c r="AO152" s="32">
        <f t="shared" si="16"/>
        <v>1.0719875905708534</v>
      </c>
    </row>
    <row r="153" spans="2:41">
      <c r="B153" s="32">
        <v>770</v>
      </c>
      <c r="C153" s="36"/>
      <c r="E153" s="32">
        <v>770</v>
      </c>
      <c r="F153" s="36">
        <v>5407.6315187615137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Y153" s="32">
        <f t="shared" si="9"/>
        <v>770</v>
      </c>
      <c r="Z153" s="32">
        <f t="shared" si="10"/>
        <v>0</v>
      </c>
      <c r="AA153" s="31">
        <f>VLOOKUP(Y153,'Hazard Weighting Functions'!$B$5:$G$1205,3,FALSE)</f>
        <v>0</v>
      </c>
      <c r="AB153" s="31">
        <f>AA153*Z153</f>
        <v>0</v>
      </c>
      <c r="AD153" s="31">
        <f>VLOOKUP(Y153,'Hazard Weighting Functions'!$B$5:$G$1205,5,FALSE)</f>
        <v>3.0000000000000001E-5</v>
      </c>
      <c r="AE153" s="31">
        <f>AD153*Z153</f>
        <v>0</v>
      </c>
      <c r="AF153" s="31">
        <f>0.5*(Y154-Y153)*(AE153+AE154)</f>
        <v>0</v>
      </c>
      <c r="AH153" s="1">
        <f t="shared" si="17"/>
        <v>770</v>
      </c>
      <c r="AI153" s="1">
        <f t="shared" si="18"/>
        <v>5407.6315187615137</v>
      </c>
      <c r="AM153" s="32">
        <f>VLOOKUP(AH153,'Hazard Weighting Functions'!$B$5:$G$1205,5,FALSE)</f>
        <v>3.0000000000000001E-5</v>
      </c>
      <c r="AN153" s="32">
        <f t="shared" si="15"/>
        <v>0.16222894556284542</v>
      </c>
      <c r="AO153" s="32">
        <f t="shared" si="16"/>
        <v>0.65799241115834795</v>
      </c>
    </row>
    <row r="154" spans="2:41">
      <c r="B154" s="32">
        <v>775</v>
      </c>
      <c r="C154" s="36"/>
      <c r="E154" s="32">
        <v>775</v>
      </c>
      <c r="F154" s="36">
        <v>4762.6424009666871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Y154" s="32">
        <f t="shared" si="9"/>
        <v>775</v>
      </c>
      <c r="Z154" s="32">
        <f t="shared" si="10"/>
        <v>0</v>
      </c>
      <c r="AA154" s="31">
        <f>VLOOKUP(Y154,'Hazard Weighting Functions'!$B$5:$G$1205,3,FALSE)</f>
        <v>0</v>
      </c>
      <c r="AB154" s="31">
        <f>AA154*Z154</f>
        <v>0</v>
      </c>
      <c r="AD154" s="31">
        <f>VLOOKUP(Y154,'Hazard Weighting Functions'!$B$5:$G$1205,5,FALSE)</f>
        <v>2.12E-5</v>
      </c>
      <c r="AE154" s="31">
        <f>AD154*Z154</f>
        <v>0</v>
      </c>
      <c r="AF154" s="31">
        <f>0.5*(Y155-Y154)*(AE154+AE155)</f>
        <v>0</v>
      </c>
      <c r="AH154" s="1">
        <f t="shared" ref="AH154:AH161" si="19">E154</f>
        <v>775</v>
      </c>
      <c r="AI154" s="1">
        <f t="shared" ref="AI154:AI161" si="20">F154</f>
        <v>4762.6424009666871</v>
      </c>
      <c r="AM154" s="32">
        <f>VLOOKUP(AH154,'Hazard Weighting Functions'!$B$5:$G$1205,5,FALSE)</f>
        <v>2.12E-5</v>
      </c>
      <c r="AN154" s="32">
        <f t="shared" si="15"/>
        <v>0.10096801890049377</v>
      </c>
      <c r="AO154" s="32">
        <f t="shared" si="16"/>
        <v>0.40951810917834758</v>
      </c>
    </row>
    <row r="155" spans="2:41">
      <c r="B155" s="32">
        <v>780</v>
      </c>
      <c r="C155" s="36"/>
      <c r="E155" s="32">
        <v>780</v>
      </c>
      <c r="F155" s="36">
        <v>4192.0763689689966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Y155" s="32">
        <f t="shared" si="9"/>
        <v>780</v>
      </c>
      <c r="Z155" s="32">
        <f t="shared" si="10"/>
        <v>0</v>
      </c>
      <c r="AA155" s="31">
        <f>VLOOKUP(Y155,'Hazard Weighting Functions'!$B$5:$G$1205,3,FALSE)</f>
        <v>0</v>
      </c>
      <c r="AB155" s="31">
        <f>AA155*Z155</f>
        <v>0</v>
      </c>
      <c r="AD155" s="31">
        <f>VLOOKUP(Y155,'Hazard Weighting Functions'!$B$5:$G$1205,5,FALSE)</f>
        <v>1.499E-5</v>
      </c>
      <c r="AE155" s="31">
        <f>AD155*Z155</f>
        <v>0</v>
      </c>
      <c r="AH155" s="1">
        <f t="shared" si="19"/>
        <v>780</v>
      </c>
      <c r="AI155" s="1">
        <f t="shared" si="20"/>
        <v>4192.0763689689966</v>
      </c>
      <c r="AM155" s="32">
        <f>VLOOKUP(AH155,'Hazard Weighting Functions'!$B$5:$G$1205,5,FALSE)</f>
        <v>1.499E-5</v>
      </c>
      <c r="AN155" s="32">
        <f t="shared" si="15"/>
        <v>6.2839224770845262E-2</v>
      </c>
    </row>
    <row r="156" spans="2:41"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Y156" s="32"/>
      <c r="Z156" s="32"/>
      <c r="AH156" s="1"/>
      <c r="AI156" s="1"/>
    </row>
    <row r="157" spans="2:41"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Y157" s="32"/>
      <c r="Z157" s="32"/>
      <c r="AH157" s="1"/>
      <c r="AI157" s="1"/>
    </row>
    <row r="158" spans="2:41"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Y158" s="32"/>
      <c r="Z158" s="32"/>
      <c r="AH158" s="1"/>
      <c r="AI158" s="1"/>
    </row>
    <row r="159" spans="2:41"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Y159" s="32"/>
      <c r="Z159" s="32"/>
      <c r="AH159" s="1"/>
      <c r="AI159" s="1"/>
    </row>
    <row r="160" spans="2:41"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Y160" s="32"/>
      <c r="Z160" s="32"/>
      <c r="AH160" s="1"/>
      <c r="AI160" s="1"/>
    </row>
    <row r="161" spans="8:35"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Y161" s="32"/>
      <c r="Z161" s="32"/>
      <c r="AH161" s="1"/>
      <c r="AI161" s="1"/>
    </row>
    <row r="162" spans="8:35"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Y162" s="32"/>
      <c r="Z162" s="32"/>
    </row>
    <row r="163" spans="8:35"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Y163" s="32"/>
      <c r="Z163" s="32"/>
    </row>
    <row r="164" spans="8:35"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Y164" s="32"/>
      <c r="Z164" s="32"/>
    </row>
    <row r="165" spans="8:35"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Y165" s="32"/>
      <c r="Z165" s="32"/>
    </row>
    <row r="166" spans="8:35"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Y166" s="32"/>
      <c r="Z166" s="32"/>
    </row>
    <row r="167" spans="8:35"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Y167" s="32"/>
      <c r="Z167" s="32"/>
    </row>
    <row r="168" spans="8:35"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Y168" s="32"/>
      <c r="Z168" s="32"/>
    </row>
    <row r="169" spans="8:35"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Y169" s="32"/>
      <c r="Z169" s="32"/>
    </row>
    <row r="170" spans="8:35"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Y170" s="32"/>
      <c r="Z170" s="32"/>
    </row>
    <row r="171" spans="8:35"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Y171" s="32"/>
      <c r="Z171" s="32"/>
    </row>
    <row r="172" spans="8:35"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Y172" s="32"/>
      <c r="Z172" s="32"/>
    </row>
    <row r="173" spans="8:35"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Y173" s="32"/>
      <c r="Z173" s="32"/>
    </row>
    <row r="174" spans="8:35"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Y174" s="32"/>
      <c r="Z174" s="32"/>
    </row>
    <row r="175" spans="8:35"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Y175" s="32"/>
      <c r="Z175" s="32"/>
    </row>
    <row r="176" spans="8:35"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Y176" s="32"/>
      <c r="Z176" s="32"/>
    </row>
    <row r="177" spans="8:26"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Y177" s="32"/>
      <c r="Z177" s="32"/>
    </row>
    <row r="178" spans="8:26"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Y178" s="32"/>
      <c r="Z178" s="32"/>
    </row>
    <row r="179" spans="8:26">
      <c r="H179" s="1"/>
      <c r="I179" s="22"/>
      <c r="J179" s="1"/>
      <c r="K179" s="1"/>
      <c r="L179" s="22"/>
      <c r="M179" s="1"/>
      <c r="N179" s="1"/>
      <c r="O179" s="22"/>
      <c r="P179" s="32"/>
      <c r="Q179" s="1"/>
      <c r="R179" s="22"/>
      <c r="S179" s="1"/>
      <c r="T179" s="1"/>
      <c r="Y179" s="32"/>
      <c r="Z179" s="32"/>
    </row>
    <row r="180" spans="8:26">
      <c r="H180" s="1"/>
      <c r="I180" s="1"/>
      <c r="J180" s="1"/>
      <c r="K180" s="1"/>
      <c r="L180" s="1"/>
      <c r="M180" s="1"/>
      <c r="N180" s="1"/>
      <c r="O180" s="1"/>
      <c r="P180" s="32"/>
      <c r="Q180" s="1"/>
      <c r="R180" s="1"/>
      <c r="S180" s="1"/>
      <c r="T180" s="1"/>
      <c r="Y180" s="32"/>
      <c r="Z180" s="32"/>
    </row>
    <row r="181" spans="8:26"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Y181" s="32"/>
      <c r="Z181" s="32"/>
    </row>
    <row r="182" spans="8:26"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Y182" s="32"/>
      <c r="Z182" s="32"/>
    </row>
    <row r="183" spans="8:26"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Y183" s="32"/>
      <c r="Z183" s="32"/>
    </row>
    <row r="184" spans="8:26"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Y184" s="32"/>
      <c r="Z184" s="32"/>
    </row>
    <row r="185" spans="8:26"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Y185" s="32"/>
      <c r="Z185" s="32"/>
    </row>
    <row r="186" spans="8:26"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Y186" s="32"/>
      <c r="Z186" s="32"/>
    </row>
    <row r="187" spans="8:26"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Y187" s="32"/>
      <c r="Z187" s="32"/>
    </row>
    <row r="188" spans="8:26"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Y188" s="32"/>
      <c r="Z188" s="32"/>
    </row>
    <row r="189" spans="8:26"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Y189" s="32"/>
      <c r="Z189" s="32"/>
    </row>
    <row r="190" spans="8:26"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Y190" s="32"/>
      <c r="Z190" s="32"/>
    </row>
    <row r="191" spans="8:26"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Y191" s="32"/>
      <c r="Z191" s="32"/>
    </row>
    <row r="192" spans="8:26"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Y192" s="32"/>
      <c r="Z192" s="32"/>
    </row>
    <row r="193" spans="8:26"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Y193" s="32"/>
      <c r="Z193" s="32"/>
    </row>
    <row r="194" spans="8:26"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Y194" s="32"/>
      <c r="Z194" s="32"/>
    </row>
    <row r="195" spans="8:26"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Y195" s="32"/>
      <c r="Z195" s="32"/>
    </row>
    <row r="196" spans="8:26"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Y196" s="32"/>
      <c r="Z196" s="32"/>
    </row>
    <row r="197" spans="8:26"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Y197" s="32"/>
      <c r="Z197" s="32"/>
    </row>
    <row r="198" spans="8:26"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Y198" s="32"/>
      <c r="Z198" s="32"/>
    </row>
    <row r="199" spans="8:26"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Y199" s="32"/>
      <c r="Z199" s="32"/>
    </row>
    <row r="200" spans="8:26"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Y200" s="32"/>
      <c r="Z200" s="32"/>
    </row>
    <row r="201" spans="8:26"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Y201" s="32"/>
      <c r="Z201" s="32"/>
    </row>
    <row r="202" spans="8:26"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Y202" s="32"/>
      <c r="Z202" s="32"/>
    </row>
    <row r="203" spans="8:26"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Y203" s="32"/>
      <c r="Z203" s="32"/>
    </row>
    <row r="204" spans="8:26"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Y204" s="32"/>
      <c r="Z204" s="32"/>
    </row>
    <row r="205" spans="8:26"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Y205" s="32"/>
      <c r="Z205" s="32"/>
    </row>
    <row r="206" spans="8:26"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Y206" s="32"/>
      <c r="Z206" s="32"/>
    </row>
    <row r="207" spans="8:26"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Y207" s="32"/>
      <c r="Z207" s="32"/>
    </row>
    <row r="208" spans="8:26"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Y208" s="32"/>
      <c r="Z208" s="32"/>
    </row>
    <row r="209" spans="8:26"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Y209" s="32"/>
      <c r="Z209" s="32"/>
    </row>
    <row r="210" spans="8:26"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Y210" s="32"/>
      <c r="Z210" s="32"/>
    </row>
    <row r="211" spans="8:26"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Y211" s="32"/>
      <c r="Z211" s="32"/>
    </row>
    <row r="212" spans="8:26"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Y212" s="32"/>
      <c r="Z212" s="32"/>
    </row>
    <row r="213" spans="8:26"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Y213" s="32"/>
      <c r="Z213" s="32"/>
    </row>
    <row r="214" spans="8:26"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Y214" s="32"/>
      <c r="Z214" s="32"/>
    </row>
    <row r="215" spans="8:26"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Y215" s="32"/>
      <c r="Z215" s="32"/>
    </row>
    <row r="216" spans="8:26"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Y216" s="32"/>
      <c r="Z216" s="32"/>
    </row>
    <row r="217" spans="8:26">
      <c r="H217" s="1"/>
      <c r="I217" s="22"/>
      <c r="J217" s="1"/>
      <c r="K217" s="1"/>
      <c r="L217" s="22"/>
      <c r="M217" s="1"/>
      <c r="N217" s="1"/>
      <c r="O217" s="22"/>
      <c r="P217" s="32"/>
      <c r="Q217" s="1"/>
      <c r="R217" s="22"/>
      <c r="S217" s="1"/>
      <c r="T217" s="1"/>
      <c r="Y217" s="32"/>
      <c r="Z217" s="32"/>
    </row>
    <row r="218" spans="8:26">
      <c r="H218" s="1"/>
      <c r="I218" s="1"/>
      <c r="J218" s="1"/>
      <c r="K218" s="1"/>
      <c r="L218" s="1"/>
      <c r="M218" s="1"/>
      <c r="N218" s="1"/>
      <c r="O218" s="1"/>
      <c r="P218" s="32"/>
      <c r="Q218" s="1"/>
      <c r="R218" s="1"/>
      <c r="S218" s="1"/>
      <c r="T218" s="1"/>
      <c r="Y218" s="32"/>
      <c r="Z218" s="32"/>
    </row>
    <row r="219" spans="8:26"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Y219" s="32"/>
      <c r="Z219" s="32"/>
    </row>
    <row r="220" spans="8:26"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Y220" s="32"/>
      <c r="Z220" s="32"/>
    </row>
    <row r="221" spans="8:26"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Y221" s="32"/>
      <c r="Z221" s="32"/>
    </row>
    <row r="222" spans="8:26"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Y222" s="32"/>
      <c r="Z222" s="32"/>
    </row>
    <row r="223" spans="8:26"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Y223" s="32"/>
      <c r="Z223" s="32"/>
    </row>
    <row r="224" spans="8:26"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Y224" s="32"/>
      <c r="Z224" s="32"/>
    </row>
    <row r="225" spans="8:26"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Y225" s="32"/>
      <c r="Z225" s="32"/>
    </row>
    <row r="226" spans="8:26"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Y226" s="32"/>
      <c r="Z226" s="32"/>
    </row>
    <row r="227" spans="8:26"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Y227" s="32"/>
      <c r="Z227" s="32"/>
    </row>
    <row r="228" spans="8:26"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Y228" s="32"/>
      <c r="Z228" s="32"/>
    </row>
    <row r="229" spans="8:26"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Y229" s="32"/>
      <c r="Z229" s="32"/>
    </row>
    <row r="230" spans="8:26"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Y230" s="32"/>
      <c r="Z230" s="32"/>
    </row>
    <row r="231" spans="8:26"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Y231" s="32"/>
      <c r="Z231" s="32"/>
    </row>
    <row r="232" spans="8:26"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Y232" s="32"/>
      <c r="Z232" s="32"/>
    </row>
    <row r="233" spans="8:26"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Y233" s="32"/>
      <c r="Z233" s="32"/>
    </row>
    <row r="234" spans="8:26"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Y234" s="32"/>
      <c r="Z234" s="32"/>
    </row>
    <row r="235" spans="8:26"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Y235" s="32"/>
      <c r="Z235" s="32"/>
    </row>
    <row r="236" spans="8:26"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Y236" s="32"/>
      <c r="Z236" s="32"/>
    </row>
    <row r="237" spans="8:26"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Y237" s="32"/>
      <c r="Z237" s="32"/>
    </row>
    <row r="238" spans="8:26"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Y238" s="32"/>
      <c r="Z238" s="32"/>
    </row>
    <row r="239" spans="8:26"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Y239" s="32"/>
      <c r="Z239" s="32"/>
    </row>
    <row r="240" spans="8:26"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Y240" s="32"/>
      <c r="Z240" s="32"/>
    </row>
    <row r="241" spans="8:26"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Y241" s="32"/>
      <c r="Z241" s="32"/>
    </row>
    <row r="242" spans="8:26"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Y242" s="32"/>
      <c r="Z242" s="32"/>
    </row>
    <row r="243" spans="8:26"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Y243" s="32"/>
      <c r="Z243" s="32"/>
    </row>
    <row r="244" spans="8:26"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Y244" s="32"/>
      <c r="Z244" s="32"/>
    </row>
    <row r="245" spans="8:26"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Y245" s="32"/>
      <c r="Z245" s="32"/>
    </row>
    <row r="246" spans="8:26"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Y246" s="32"/>
      <c r="Z246" s="32"/>
    </row>
    <row r="247" spans="8:26"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Y247" s="32"/>
      <c r="Z247" s="32"/>
    </row>
    <row r="248" spans="8:26"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Y248" s="32"/>
      <c r="Z248" s="32"/>
    </row>
    <row r="249" spans="8:26"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Y249" s="32"/>
      <c r="Z249" s="32"/>
    </row>
    <row r="250" spans="8:26"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Y250" s="32"/>
      <c r="Z250" s="32"/>
    </row>
    <row r="251" spans="8:26"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Y251" s="32"/>
      <c r="Z251" s="32"/>
    </row>
    <row r="252" spans="8:26"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Y252" s="32"/>
      <c r="Z252" s="32"/>
    </row>
    <row r="253" spans="8:26"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Y253" s="32"/>
      <c r="Z253" s="32"/>
    </row>
    <row r="254" spans="8:26"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Y254" s="32"/>
      <c r="Z254" s="32"/>
    </row>
    <row r="255" spans="8:26">
      <c r="H255" s="1"/>
      <c r="I255" s="22"/>
      <c r="J255" s="1"/>
      <c r="K255" s="1"/>
      <c r="L255" s="22"/>
      <c r="M255" s="1"/>
      <c r="N255" s="1"/>
      <c r="O255" s="22"/>
      <c r="P255" s="32"/>
      <c r="Q255" s="1"/>
      <c r="R255" s="22"/>
      <c r="S255" s="1"/>
      <c r="T255" s="1"/>
      <c r="Y255" s="32"/>
      <c r="Z255" s="32"/>
    </row>
    <row r="256" spans="8:26">
      <c r="H256" s="1"/>
      <c r="I256" s="1"/>
      <c r="J256" s="1"/>
      <c r="K256" s="1"/>
      <c r="L256" s="1"/>
      <c r="M256" s="1"/>
      <c r="N256" s="1"/>
      <c r="O256" s="1"/>
      <c r="P256" s="32"/>
      <c r="Q256" s="1"/>
      <c r="R256" s="1"/>
      <c r="S256" s="1"/>
      <c r="T256" s="1"/>
      <c r="Y256" s="32"/>
      <c r="Z256" s="32"/>
    </row>
    <row r="257" spans="8:26"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Y257" s="32"/>
      <c r="Z257" s="32"/>
    </row>
    <row r="258" spans="8:26"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Y258" s="32"/>
      <c r="Z258" s="32"/>
    </row>
    <row r="259" spans="8:26"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Y259" s="32"/>
      <c r="Z259" s="32"/>
    </row>
    <row r="260" spans="8:26"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Y260" s="32"/>
      <c r="Z260" s="32"/>
    </row>
    <row r="261" spans="8:26"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Y261" s="32"/>
      <c r="Z261" s="32"/>
    </row>
    <row r="262" spans="8:26"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Y262" s="32"/>
      <c r="Z262" s="32"/>
    </row>
    <row r="263" spans="8:26"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Y263" s="32"/>
      <c r="Z263" s="32"/>
    </row>
    <row r="264" spans="8:26"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Y264" s="32"/>
      <c r="Z264" s="32"/>
    </row>
    <row r="265" spans="8:26"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Y265" s="32"/>
      <c r="Z265" s="32"/>
    </row>
    <row r="266" spans="8:26"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Y266" s="32"/>
      <c r="Z266" s="32"/>
    </row>
    <row r="267" spans="8:26"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Y267" s="32"/>
      <c r="Z267" s="32"/>
    </row>
    <row r="268" spans="8:26"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Y268" s="32"/>
      <c r="Z268" s="32"/>
    </row>
    <row r="269" spans="8:26"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Y269" s="32"/>
      <c r="Z269" s="32"/>
    </row>
    <row r="270" spans="8:26"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Y270" s="32"/>
      <c r="Z270" s="32"/>
    </row>
    <row r="271" spans="8:26"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Y271" s="32"/>
      <c r="Z271" s="32"/>
    </row>
    <row r="272" spans="8:26"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Y272" s="32"/>
      <c r="Z272" s="32"/>
    </row>
    <row r="273" spans="8:26"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Y273" s="32"/>
      <c r="Z273" s="32"/>
    </row>
    <row r="274" spans="8:26"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Y274" s="32"/>
      <c r="Z274" s="32"/>
    </row>
    <row r="275" spans="8:26"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Y275" s="32"/>
      <c r="Z275" s="32"/>
    </row>
    <row r="276" spans="8:26"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Y276" s="32"/>
      <c r="Z276" s="32"/>
    </row>
    <row r="277" spans="8:26"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Y277" s="32"/>
      <c r="Z277" s="32"/>
    </row>
    <row r="278" spans="8:26"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Y278" s="32"/>
      <c r="Z278" s="32"/>
    </row>
    <row r="279" spans="8:26"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Y279" s="32"/>
      <c r="Z279" s="32"/>
    </row>
    <row r="280" spans="8:26"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Y280" s="32"/>
      <c r="Z280" s="32"/>
    </row>
    <row r="281" spans="8:26"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Y281" s="32"/>
      <c r="Z281" s="32"/>
    </row>
    <row r="282" spans="8:26"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Y282" s="32"/>
      <c r="Z282" s="32"/>
    </row>
    <row r="283" spans="8:26"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Y283" s="32"/>
      <c r="Z283" s="32"/>
    </row>
    <row r="284" spans="8:26"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Y284" s="32"/>
      <c r="Z284" s="32"/>
    </row>
    <row r="285" spans="8:26"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Y285" s="32"/>
      <c r="Z285" s="32"/>
    </row>
    <row r="286" spans="8:26"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Y286" s="32"/>
      <c r="Z286" s="32"/>
    </row>
    <row r="287" spans="8:26"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Y287" s="32"/>
      <c r="Z287" s="32"/>
    </row>
    <row r="288" spans="8:26"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Y288" s="32"/>
      <c r="Z288" s="32"/>
    </row>
    <row r="289" spans="8:26"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Y289" s="32"/>
      <c r="Z289" s="32"/>
    </row>
    <row r="290" spans="8:26"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Y290" s="32"/>
      <c r="Z290" s="32"/>
    </row>
    <row r="291" spans="8:26"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Y291" s="32"/>
      <c r="Z291" s="32"/>
    </row>
    <row r="292" spans="8:26"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Y292" s="32"/>
      <c r="Z292" s="32"/>
    </row>
    <row r="293" spans="8:26">
      <c r="H293" s="1"/>
      <c r="I293" s="22"/>
      <c r="J293" s="1"/>
      <c r="K293" s="1"/>
      <c r="L293" s="22"/>
      <c r="M293" s="1"/>
      <c r="N293" s="1"/>
      <c r="O293" s="22"/>
      <c r="P293" s="32"/>
      <c r="Q293" s="1"/>
      <c r="R293" s="22"/>
      <c r="S293" s="1"/>
      <c r="T293" s="1"/>
      <c r="Y293" s="32"/>
      <c r="Z293" s="32"/>
    </row>
    <row r="294" spans="8:26">
      <c r="H294" s="1"/>
      <c r="I294" s="1"/>
      <c r="J294" s="1"/>
      <c r="K294" s="1"/>
      <c r="L294" s="1"/>
      <c r="M294" s="1"/>
      <c r="N294" s="1"/>
      <c r="O294" s="1"/>
      <c r="P294" s="32"/>
      <c r="Q294" s="1"/>
      <c r="R294" s="1"/>
      <c r="S294" s="1"/>
      <c r="T294" s="1"/>
      <c r="Y294" s="32"/>
      <c r="Z294" s="32"/>
    </row>
    <row r="295" spans="8:26"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Y295" s="32"/>
      <c r="Z295" s="32"/>
    </row>
    <row r="296" spans="8:26"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Y296" s="32"/>
      <c r="Z296" s="32"/>
    </row>
    <row r="297" spans="8:26"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Y297" s="32"/>
      <c r="Z297" s="32"/>
    </row>
    <row r="298" spans="8:26"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Y298" s="32"/>
      <c r="Z298" s="32"/>
    </row>
    <row r="299" spans="8:26"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Y299" s="32"/>
      <c r="Z299" s="32"/>
    </row>
    <row r="300" spans="8:26"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Y300" s="32"/>
      <c r="Z300" s="32"/>
    </row>
    <row r="301" spans="8:26"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Y301" s="32"/>
      <c r="Z301" s="32"/>
    </row>
    <row r="302" spans="8:26"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Y302" s="32"/>
      <c r="Z302" s="32"/>
    </row>
    <row r="303" spans="8:26"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Y303" s="32"/>
      <c r="Z303" s="32"/>
    </row>
    <row r="304" spans="8:26"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Y304" s="32"/>
      <c r="Z304" s="32"/>
    </row>
    <row r="305" spans="8:26"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Y305" s="32"/>
      <c r="Z305" s="32"/>
    </row>
    <row r="306" spans="8:26"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Y306" s="32"/>
      <c r="Z306" s="32"/>
    </row>
    <row r="307" spans="8:26"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Y307" s="32"/>
      <c r="Z307" s="32"/>
    </row>
    <row r="308" spans="8:26"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Y308" s="32"/>
      <c r="Z308" s="32"/>
    </row>
    <row r="309" spans="8:26"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Y309" s="32"/>
      <c r="Z309" s="32"/>
    </row>
    <row r="310" spans="8:26"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Y310" s="32"/>
      <c r="Z310" s="32"/>
    </row>
    <row r="311" spans="8:26"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Y311" s="32"/>
      <c r="Z311" s="32"/>
    </row>
    <row r="312" spans="8:26"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Y312" s="32"/>
      <c r="Z312" s="32"/>
    </row>
    <row r="313" spans="8:26"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Y313" s="32"/>
      <c r="Z313" s="32"/>
    </row>
    <row r="314" spans="8:26"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Y314" s="32"/>
      <c r="Z314" s="32"/>
    </row>
    <row r="315" spans="8:26"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Y315" s="32"/>
      <c r="Z315" s="32"/>
    </row>
    <row r="316" spans="8:26"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Y316" s="32"/>
      <c r="Z316" s="32"/>
    </row>
    <row r="317" spans="8:26"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Y317" s="32"/>
      <c r="Z317" s="32"/>
    </row>
    <row r="318" spans="8:26"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Y318" s="32"/>
      <c r="Z318" s="32"/>
    </row>
    <row r="319" spans="8:26"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Y319" s="32"/>
      <c r="Z319" s="32"/>
    </row>
    <row r="320" spans="8:26"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Y320" s="32"/>
      <c r="Z320" s="32"/>
    </row>
    <row r="321" spans="8:26"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Y321" s="32"/>
      <c r="Z321" s="32"/>
    </row>
    <row r="322" spans="8:26"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Y322" s="32"/>
      <c r="Z322" s="32"/>
    </row>
    <row r="323" spans="8:26"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Y323" s="32"/>
      <c r="Z323" s="32"/>
    </row>
    <row r="324" spans="8:26"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Y324" s="32"/>
      <c r="Z324" s="32"/>
    </row>
    <row r="325" spans="8:26"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Y325" s="32"/>
      <c r="Z325" s="32"/>
    </row>
    <row r="326" spans="8:26"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Y326" s="32"/>
      <c r="Z326" s="32"/>
    </row>
    <row r="327" spans="8:26"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Y327" s="32"/>
      <c r="Z327" s="32"/>
    </row>
    <row r="328" spans="8:26"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Y328" s="32"/>
      <c r="Z328" s="32"/>
    </row>
    <row r="329" spans="8:26"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Y329" s="32"/>
      <c r="Z329" s="32"/>
    </row>
    <row r="330" spans="8:26"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Y330" s="32"/>
      <c r="Z330" s="32"/>
    </row>
    <row r="331" spans="8:26">
      <c r="H331" s="1"/>
      <c r="I331" s="22"/>
      <c r="J331" s="1"/>
      <c r="K331" s="1"/>
      <c r="L331" s="22"/>
      <c r="M331" s="1"/>
      <c r="N331" s="1"/>
      <c r="O331" s="22"/>
      <c r="P331" s="32"/>
      <c r="Q331" s="1"/>
      <c r="R331" s="22"/>
      <c r="S331" s="1"/>
      <c r="T331" s="1"/>
      <c r="Y331" s="32"/>
      <c r="Z331" s="32"/>
    </row>
    <row r="332" spans="8:26">
      <c r="H332" s="1"/>
      <c r="I332" s="1"/>
      <c r="J332" s="1"/>
      <c r="K332" s="1"/>
      <c r="L332" s="1"/>
      <c r="M332" s="1"/>
      <c r="N332" s="1"/>
      <c r="O332" s="1"/>
      <c r="P332" s="32"/>
      <c r="Q332" s="1"/>
      <c r="R332" s="1"/>
      <c r="S332" s="1"/>
      <c r="T332" s="1"/>
      <c r="Y332" s="32"/>
      <c r="Z332" s="32"/>
    </row>
    <row r="333" spans="8:26"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Y333" s="32"/>
      <c r="Z333" s="32"/>
    </row>
    <row r="334" spans="8:26"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Y334" s="32"/>
      <c r="Z334" s="32"/>
    </row>
    <row r="335" spans="8:26"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Y335" s="32"/>
      <c r="Z335" s="32"/>
    </row>
    <row r="336" spans="8:26"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Y336" s="32"/>
      <c r="Z336" s="32"/>
    </row>
    <row r="337" spans="8:26"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Y337" s="32"/>
      <c r="Z337" s="32"/>
    </row>
    <row r="338" spans="8:26"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Y338" s="32"/>
      <c r="Z338" s="32"/>
    </row>
    <row r="339" spans="8:26"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Y339" s="32"/>
      <c r="Z339" s="32"/>
    </row>
    <row r="340" spans="8:26"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Y340" s="32"/>
      <c r="Z340" s="32"/>
    </row>
    <row r="341" spans="8:26"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Y341" s="32"/>
      <c r="Z341" s="32"/>
    </row>
    <row r="342" spans="8:26"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Y342" s="32"/>
      <c r="Z342" s="32"/>
    </row>
    <row r="343" spans="8:26"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Y343" s="32"/>
      <c r="Z343" s="32"/>
    </row>
    <row r="344" spans="8:26"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Y344" s="32"/>
      <c r="Z344" s="32"/>
    </row>
    <row r="345" spans="8:26"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Y345" s="32"/>
      <c r="Z345" s="32"/>
    </row>
    <row r="346" spans="8:26"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Y346" s="32"/>
      <c r="Z346" s="32"/>
    </row>
    <row r="347" spans="8:26"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Y347" s="32"/>
      <c r="Z347" s="32"/>
    </row>
    <row r="348" spans="8:26"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8:26"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8:26"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8:26"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8:26"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8:20"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8:20"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8:20"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8:20"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8:20"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8:20"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8:20"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8:20"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8:20"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8:20"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8:20"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8:20"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8:20"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8:20"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8:20"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8:20"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8:20">
      <c r="H369" s="1"/>
      <c r="I369" s="22"/>
      <c r="J369" s="1"/>
      <c r="K369" s="1"/>
      <c r="L369" s="22"/>
      <c r="M369" s="1"/>
      <c r="N369" s="1"/>
      <c r="O369" s="22"/>
      <c r="P369" s="32"/>
      <c r="Q369" s="1"/>
      <c r="R369" s="22"/>
      <c r="S369" s="1"/>
      <c r="T369" s="1"/>
    </row>
    <row r="370" spans="8:20">
      <c r="H370" s="1"/>
      <c r="I370" s="1"/>
      <c r="J370" s="1"/>
      <c r="K370" s="1"/>
      <c r="L370" s="1"/>
      <c r="M370" s="1"/>
      <c r="N370" s="1"/>
      <c r="O370" s="1"/>
      <c r="P370" s="32"/>
      <c r="Q370" s="1"/>
      <c r="R370" s="1"/>
      <c r="S370" s="1"/>
      <c r="T370" s="1"/>
    </row>
    <row r="371" spans="8:20"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8:20"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8:20"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8:20"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8:20"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8:20"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8:20"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8:20"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8:20"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8:20"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8:20"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8:20"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8:20"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8:20"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8:20"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8:20"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8:20"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8:20"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8:20"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8:20"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8:20"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8:20"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8:20"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8:20"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8:20"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8:20"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8:20"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8:20"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8:20"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8:20"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8:20"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8:20"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8:20"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8:20"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8:20"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8:20"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8:20">
      <c r="H407" s="1"/>
      <c r="I407" s="22"/>
      <c r="J407" s="1"/>
      <c r="K407" s="1"/>
      <c r="L407" s="22"/>
      <c r="M407" s="1"/>
      <c r="N407" s="1"/>
      <c r="O407" s="22"/>
      <c r="P407" s="32"/>
      <c r="Q407" s="1"/>
      <c r="R407" s="22"/>
      <c r="S407" s="1"/>
      <c r="T407" s="1"/>
    </row>
    <row r="408" spans="8:20">
      <c r="H408" s="1"/>
      <c r="I408" s="1"/>
      <c r="J408" s="1"/>
      <c r="K408" s="1"/>
      <c r="L408" s="1"/>
      <c r="M408" s="1"/>
      <c r="N408" s="1"/>
      <c r="O408" s="1"/>
      <c r="P408" s="32"/>
      <c r="Q408" s="1"/>
      <c r="R408" s="1"/>
      <c r="S408" s="1"/>
      <c r="T408" s="1"/>
    </row>
    <row r="409" spans="8:20"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8:20"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8:20"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8:20"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8:20"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8:20"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8:20"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8:20"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8:20"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8:20"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8:20"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8:20"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8:20"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8:20"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8:20"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8:20"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8:20"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8:20"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8:20"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8:20"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8:20"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8:20"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8:20"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8:20"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8:20"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8:20"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8:20"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8:20"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8:20"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8:20"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8:20"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8:20"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8:20"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8:20"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8:20"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8:20"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8:20">
      <c r="H445" s="1"/>
      <c r="I445" s="22"/>
      <c r="J445" s="1"/>
      <c r="K445" s="1"/>
      <c r="L445" s="22"/>
      <c r="M445" s="1"/>
      <c r="N445" s="1"/>
      <c r="O445" s="22"/>
      <c r="P445" s="32"/>
      <c r="Q445" s="1"/>
      <c r="R445" s="22"/>
      <c r="S445" s="1"/>
      <c r="T445" s="1"/>
    </row>
    <row r="446" spans="8:20">
      <c r="H446" s="1"/>
      <c r="I446" s="1"/>
      <c r="J446" s="1"/>
      <c r="K446" s="1"/>
      <c r="L446" s="1"/>
      <c r="M446" s="1"/>
      <c r="N446" s="1"/>
      <c r="O446" s="1"/>
      <c r="P446" s="32"/>
      <c r="Q446" s="1"/>
      <c r="R446" s="1"/>
      <c r="S446" s="1"/>
      <c r="T446" s="1"/>
    </row>
    <row r="447" spans="8:20"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8:20"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8:20"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8:20"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8:20"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8:20"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8:20"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8:20"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8:20"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8:20"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8:20"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8:20"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8:20"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8:20"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8:20"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8:20"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8:20"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8:20"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8:20"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8:20"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8:20"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8:20"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8:20"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8:20"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8:20"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8:20"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8:20"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8:20"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8:20"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8:20"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8:20"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8:20"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8:20"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8:20"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8:20"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8:20"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8:20">
      <c r="H483" s="1"/>
      <c r="I483" s="22"/>
      <c r="J483" s="1"/>
      <c r="K483" s="1"/>
      <c r="L483" s="22"/>
      <c r="M483" s="1"/>
      <c r="N483" s="1"/>
      <c r="O483" s="22"/>
      <c r="P483" s="32"/>
      <c r="Q483" s="1"/>
      <c r="R483" s="22"/>
      <c r="S483" s="1"/>
      <c r="T483" s="1"/>
    </row>
    <row r="484" spans="8:20">
      <c r="H484" s="1"/>
      <c r="I484" s="1"/>
      <c r="J484" s="1"/>
      <c r="K484" s="1"/>
      <c r="L484" s="1"/>
      <c r="M484" s="1"/>
      <c r="N484" s="1"/>
      <c r="O484" s="1"/>
      <c r="P484" s="32"/>
      <c r="Q484" s="1"/>
      <c r="R484" s="1"/>
      <c r="S484" s="1"/>
      <c r="T484" s="1"/>
    </row>
    <row r="485" spans="8:20"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8:20"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8:20"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8:20"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8:20"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8:20"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8:20"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8:20"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8:20"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8:20"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8:20"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8:20"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8:20"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8:20"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8:20"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8:20"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8:20"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8:20"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8:20"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8:20"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8:20"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8:20"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8:20"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8:20"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8:20"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8:20"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</sheetData>
  <mergeCells count="2">
    <mergeCell ref="K4:L4"/>
    <mergeCell ref="K14:L14"/>
  </mergeCells>
  <dataValidations count="1">
    <dataValidation type="list" allowBlank="1" showInputMessage="1" showErrorMessage="1" sqref="G4">
      <formula1>$AK$5:$AK$6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Z649"/>
  <sheetViews>
    <sheetView zoomScale="85" zoomScaleNormal="85" workbookViewId="0">
      <selection activeCell="F19" sqref="F19"/>
    </sheetView>
  </sheetViews>
  <sheetFormatPr defaultRowHeight="15"/>
  <cols>
    <col min="1" max="1" width="10.140625" style="25" bestFit="1" customWidth="1"/>
    <col min="2" max="2" width="21.28515625" style="25" bestFit="1" customWidth="1"/>
    <col min="3" max="3" width="23.85546875" style="25" customWidth="1"/>
    <col min="4" max="4" width="23" style="25" bestFit="1" customWidth="1"/>
    <col min="5" max="5" width="11.85546875" style="25" bestFit="1" customWidth="1"/>
    <col min="6" max="6" width="20.42578125" style="25" customWidth="1"/>
    <col min="7" max="7" width="9.140625" style="25"/>
    <col min="8" max="8" width="12" style="25" bestFit="1" customWidth="1"/>
    <col min="9" max="9" width="19.42578125" style="25" bestFit="1" customWidth="1"/>
    <col min="10" max="10" width="33.140625" style="25" customWidth="1"/>
    <col min="11" max="11" width="13.85546875" style="25" bestFit="1" customWidth="1"/>
    <col min="12" max="12" width="23.7109375" style="25" bestFit="1" customWidth="1"/>
    <col min="13" max="13" width="9.140625" style="25"/>
    <col min="14" max="14" width="14" style="25" customWidth="1"/>
    <col min="15" max="15" width="19" style="25" bestFit="1" customWidth="1"/>
    <col min="16" max="16" width="13.85546875" style="25" bestFit="1" customWidth="1"/>
    <col min="17" max="17" width="11.85546875" style="25" bestFit="1" customWidth="1"/>
    <col min="18" max="18" width="19.140625" style="25" bestFit="1" customWidth="1"/>
    <col min="19" max="19" width="9.140625" style="25"/>
    <col min="20" max="21" width="12.28515625" style="25" bestFit="1" customWidth="1"/>
    <col min="22" max="22" width="12" style="25" bestFit="1" customWidth="1"/>
    <col min="23" max="23" width="15.28515625" style="25" bestFit="1" customWidth="1"/>
    <col min="24" max="24" width="9.140625" style="25"/>
    <col min="25" max="25" width="12" style="25" bestFit="1" customWidth="1"/>
    <col min="26" max="26" width="15.28515625" style="25" bestFit="1" customWidth="1"/>
    <col min="27" max="27" width="17.28515625" style="25" bestFit="1" customWidth="1"/>
    <col min="28" max="28" width="19.85546875" style="25" bestFit="1" customWidth="1"/>
    <col min="29" max="29" width="17" style="25" bestFit="1" customWidth="1"/>
    <col min="30" max="30" width="16" style="25" bestFit="1" customWidth="1"/>
    <col min="31" max="31" width="16.28515625" style="25" bestFit="1" customWidth="1"/>
    <col min="32" max="32" width="19.42578125" style="25" bestFit="1" customWidth="1"/>
    <col min="33" max="33" width="17.28515625" style="25" bestFit="1" customWidth="1"/>
    <col min="34" max="34" width="12.28515625" style="25" bestFit="1" customWidth="1"/>
    <col min="35" max="35" width="18.42578125" style="25" bestFit="1" customWidth="1"/>
    <col min="36" max="36" width="12.28515625" style="25" bestFit="1" customWidth="1"/>
    <col min="37" max="37" width="13.7109375" style="25" bestFit="1" customWidth="1"/>
    <col min="38" max="38" width="13.7109375" style="25" customWidth="1"/>
    <col min="39" max="39" width="20.140625" style="25" bestFit="1" customWidth="1"/>
    <col min="40" max="40" width="8.5703125" style="25" bestFit="1" customWidth="1"/>
    <col min="41" max="41" width="9.140625" style="25"/>
    <col min="42" max="42" width="12" style="25" bestFit="1" customWidth="1"/>
    <col min="43" max="43" width="18.140625" style="25" bestFit="1" customWidth="1"/>
    <col min="44" max="44" width="16.42578125" style="25" bestFit="1" customWidth="1"/>
    <col min="45" max="45" width="19.5703125" style="25" bestFit="1" customWidth="1"/>
    <col min="46" max="47" width="12" style="25" customWidth="1"/>
    <col min="48" max="48" width="19.140625" style="25" bestFit="1" customWidth="1"/>
    <col min="49" max="49" width="16.42578125" style="25" bestFit="1" customWidth="1"/>
    <col min="50" max="50" width="19.5703125" style="25" bestFit="1" customWidth="1"/>
    <col min="51" max="51" width="17.28515625" style="25" bestFit="1" customWidth="1"/>
    <col min="52" max="59" width="17.28515625" style="25" customWidth="1"/>
    <col min="60" max="60" width="21.85546875" style="25" bestFit="1" customWidth="1"/>
    <col min="61" max="64" width="17.28515625" style="25" customWidth="1"/>
    <col min="65" max="65" width="21.85546875" style="25" bestFit="1" customWidth="1"/>
    <col min="66" max="66" width="23.85546875" style="25" bestFit="1" customWidth="1"/>
    <col min="67" max="67" width="22.7109375" style="25" bestFit="1" customWidth="1"/>
    <col min="68" max="73" width="22.7109375" style="25" customWidth="1"/>
    <col min="74" max="16384" width="9.140625" style="25"/>
  </cols>
  <sheetData>
    <row r="1" spans="2:44" ht="15.75" thickBot="1">
      <c r="T1" s="5"/>
      <c r="U1" s="5"/>
      <c r="V1" s="5"/>
      <c r="W1" s="5"/>
      <c r="X1" s="5"/>
      <c r="Y1" s="5"/>
    </row>
    <row r="2" spans="2:44" ht="15.75">
      <c r="B2" s="21" t="s">
        <v>109</v>
      </c>
      <c r="J2" s="40" t="s">
        <v>44</v>
      </c>
      <c r="K2" s="41"/>
      <c r="L2" s="41"/>
      <c r="M2" s="41"/>
      <c r="N2" s="7"/>
      <c r="O2" s="42" t="s">
        <v>98</v>
      </c>
      <c r="P2" s="7"/>
      <c r="Q2" s="7"/>
      <c r="R2" s="42" t="s">
        <v>108</v>
      </c>
      <c r="S2" s="7"/>
      <c r="T2" s="8"/>
      <c r="U2" s="5"/>
      <c r="V2" s="5"/>
      <c r="W2" s="5"/>
      <c r="X2" s="5"/>
      <c r="Y2" s="5"/>
    </row>
    <row r="3" spans="2:44">
      <c r="G3" s="9"/>
      <c r="J3" s="43"/>
      <c r="K3" s="17"/>
      <c r="L3" s="17"/>
      <c r="M3" s="17"/>
      <c r="N3" s="5"/>
      <c r="O3" s="5"/>
      <c r="P3" s="5"/>
      <c r="Q3" s="5"/>
      <c r="R3" s="5"/>
      <c r="S3" s="5"/>
      <c r="T3" s="12"/>
      <c r="U3" s="5"/>
      <c r="V3" s="11"/>
      <c r="W3" s="11"/>
      <c r="X3" s="5"/>
      <c r="Y3" s="5"/>
      <c r="AQ3" s="5" t="s">
        <v>51</v>
      </c>
      <c r="AR3" s="5" t="s">
        <v>50</v>
      </c>
    </row>
    <row r="4" spans="2:44">
      <c r="C4" s="25" t="s">
        <v>49</v>
      </c>
      <c r="G4" s="38" t="s">
        <v>52</v>
      </c>
      <c r="J4" s="43" t="s">
        <v>46</v>
      </c>
      <c r="K4" s="44" t="s">
        <v>47</v>
      </c>
      <c r="L4" s="44"/>
      <c r="M4" s="17" t="s">
        <v>48</v>
      </c>
      <c r="N4" s="5"/>
      <c r="O4" s="5"/>
      <c r="P4" s="45"/>
      <c r="Q4" s="5"/>
      <c r="R4" s="5"/>
      <c r="S4" s="5"/>
      <c r="T4" s="12"/>
      <c r="W4" s="5"/>
      <c r="X4" s="5"/>
      <c r="Y4" s="5"/>
      <c r="AA4" s="1"/>
      <c r="AQ4" s="5" t="s">
        <v>51</v>
      </c>
      <c r="AR4" s="5" t="s">
        <v>52</v>
      </c>
    </row>
    <row r="5" spans="2:44">
      <c r="C5" s="13" t="s">
        <v>64</v>
      </c>
      <c r="G5" s="39" t="s">
        <v>55</v>
      </c>
      <c r="J5" s="10" t="s">
        <v>8</v>
      </c>
      <c r="K5" s="47">
        <f>IF(G5="GLS",AB25*500/K10/1000,AB25/1000)</f>
        <v>1.0975443910650317E-4</v>
      </c>
      <c r="L5" s="5" t="s">
        <v>93</v>
      </c>
      <c r="M5" s="5" t="str">
        <f>IF(K5&lt;0.001,"Exempt",IF(K5&lt;0.003,"RG1",IF(K5&lt;0.03,"RG2","RG3")))</f>
        <v>Exempt</v>
      </c>
      <c r="N5" s="5"/>
      <c r="O5" s="47">
        <v>1.0975400000000001E-4</v>
      </c>
      <c r="P5" s="5" t="s">
        <v>93</v>
      </c>
      <c r="Q5" s="5"/>
      <c r="R5" s="47">
        <v>0.10975</v>
      </c>
      <c r="S5" s="5" t="s">
        <v>93</v>
      </c>
      <c r="T5" s="12"/>
      <c r="W5" s="5"/>
      <c r="X5" s="5"/>
      <c r="Y5" s="5"/>
      <c r="AA5" s="29"/>
      <c r="AQ5" s="5" t="s">
        <v>51</v>
      </c>
      <c r="AR5" s="5" t="s">
        <v>54</v>
      </c>
    </row>
    <row r="6" spans="2:44">
      <c r="C6" s="25" t="s">
        <v>56</v>
      </c>
      <c r="G6" s="39">
        <v>4</v>
      </c>
      <c r="H6" s="25" t="s">
        <v>53</v>
      </c>
      <c r="J6" s="10" t="s">
        <v>38</v>
      </c>
      <c r="K6" s="45">
        <f>IF(G5="GLS",AD25*500/K10/1000,AD25/1000)</f>
        <v>7.1871621509876429E-3</v>
      </c>
      <c r="L6" s="5" t="s">
        <v>93</v>
      </c>
      <c r="M6" s="5" t="str">
        <f>IF(K6&lt;10,"Exempt",IF(K6&lt;33,"RG1",IF(K6&lt;100,"RG2","RG3")))</f>
        <v>Exempt</v>
      </c>
      <c r="N6" s="5"/>
      <c r="O6" s="45">
        <v>7.1861900000000003E-3</v>
      </c>
      <c r="P6" s="5" t="s">
        <v>93</v>
      </c>
      <c r="Q6" s="5"/>
      <c r="R6" s="45">
        <v>7.1900000000000002E-3</v>
      </c>
      <c r="S6" s="5" t="s">
        <v>93</v>
      </c>
      <c r="T6" s="12"/>
      <c r="W6" s="5"/>
      <c r="X6" s="5"/>
      <c r="Y6" s="5"/>
      <c r="AA6" s="30"/>
      <c r="AQ6" s="5" t="s">
        <v>51</v>
      </c>
      <c r="AR6" s="5" t="s">
        <v>55</v>
      </c>
    </row>
    <row r="7" spans="2:44">
      <c r="C7" s="25" t="s">
        <v>57</v>
      </c>
      <c r="G7" s="39">
        <v>4</v>
      </c>
      <c r="H7" s="25" t="s">
        <v>53</v>
      </c>
      <c r="J7" s="10" t="s">
        <v>39</v>
      </c>
      <c r="K7" s="45">
        <f>IF(G5="GLS",AF25*500/K10/1000,AF25/1000)</f>
        <v>6.5768978891945107</v>
      </c>
      <c r="L7" s="5" t="s">
        <v>93</v>
      </c>
      <c r="M7" s="5" t="str">
        <f>IF(AR10="Yes",IF(G4=AR4,IF(K7&lt;0.01,"Exempt",IF(K7&lt;1,"RG1",IF(K7&lt;400,"RG2","RG3"))),IF(K7&lt;1,"RG1",IF(K7&lt;400,"RG2","RG3"))), "N/A")</f>
        <v>N/A</v>
      </c>
      <c r="N7" s="5"/>
      <c r="O7" s="45" t="s">
        <v>37</v>
      </c>
      <c r="P7" s="5" t="s">
        <v>93</v>
      </c>
      <c r="Q7" s="5"/>
      <c r="R7" s="5" t="s">
        <v>37</v>
      </c>
      <c r="S7" s="5" t="s">
        <v>93</v>
      </c>
      <c r="T7" s="12"/>
      <c r="W7" s="5"/>
      <c r="X7" s="5"/>
      <c r="Y7" s="5"/>
      <c r="AA7" s="27"/>
      <c r="AQ7" s="5" t="s">
        <v>58</v>
      </c>
      <c r="AR7" s="5">
        <f>IF(G8&lt;1.7,1.7,IF(G8&gt;100,100,G8))</f>
        <v>19.999333373330476</v>
      </c>
    </row>
    <row r="8" spans="2:44">
      <c r="C8" s="25" t="s">
        <v>59</v>
      </c>
      <c r="G8" s="14">
        <f>1000*2*ATAN(G6/2/200)</f>
        <v>19.999333373330476</v>
      </c>
      <c r="H8" s="25" t="s">
        <v>60</v>
      </c>
      <c r="J8" s="10" t="s">
        <v>40</v>
      </c>
      <c r="K8" s="45">
        <f>IF(G5="GLS",AK25*500/K10/1000,AK25/1000)</f>
        <v>0.15197129209256843</v>
      </c>
      <c r="L8" s="5" t="s">
        <v>93</v>
      </c>
      <c r="M8" s="5" t="str">
        <f>IF(K8&lt;100,"Exempt",IF(K8&lt;570,"RG1",IF(K8&lt;3200,"RG2","RG3")))</f>
        <v>Exempt</v>
      </c>
      <c r="N8" s="5"/>
      <c r="O8" s="5">
        <f>151.556/1000</f>
        <v>0.15155600000000002</v>
      </c>
      <c r="P8" s="5" t="s">
        <v>93</v>
      </c>
      <c r="Q8" s="5"/>
      <c r="R8" s="48">
        <v>0.15156</v>
      </c>
      <c r="S8" s="5" t="s">
        <v>93</v>
      </c>
      <c r="T8" s="12"/>
      <c r="W8" s="5"/>
      <c r="X8" s="5"/>
      <c r="Y8" s="5"/>
      <c r="AA8" s="27"/>
      <c r="AQ8" s="5" t="s">
        <v>61</v>
      </c>
      <c r="AR8" s="5">
        <f>IF(G9&lt;1.7,1.7,IF(G9&gt;100,100,G9))</f>
        <v>19.999333373330476</v>
      </c>
    </row>
    <row r="9" spans="2:44">
      <c r="C9" s="25" t="s">
        <v>62</v>
      </c>
      <c r="G9" s="14">
        <f>1000*2*ATAN(G7/2/200)</f>
        <v>19.999333373330476</v>
      </c>
      <c r="H9" s="25" t="s">
        <v>60</v>
      </c>
      <c r="J9" s="10" t="s">
        <v>41</v>
      </c>
      <c r="K9" s="45">
        <f>IF(G5="GLS",AM25*500/K10/1000,AM25/1000)</f>
        <v>22.990543059583391</v>
      </c>
      <c r="L9" s="5" t="s">
        <v>93</v>
      </c>
      <c r="M9" s="5" t="str">
        <f>IF(K9&lt;(20000*10^0.25/10),"Pass","Fail")</f>
        <v>Pass</v>
      </c>
      <c r="N9" s="5"/>
      <c r="O9" s="5">
        <v>22.990099999999998</v>
      </c>
      <c r="P9" s="5" t="s">
        <v>93</v>
      </c>
      <c r="Q9" s="5"/>
      <c r="R9" s="48">
        <v>22.990100000000002</v>
      </c>
      <c r="S9" s="5" t="s">
        <v>93</v>
      </c>
      <c r="T9" s="12"/>
      <c r="W9" s="5"/>
      <c r="X9" s="5"/>
      <c r="Y9" s="5"/>
      <c r="AA9" s="30"/>
      <c r="AQ9" s="16" t="s">
        <v>66</v>
      </c>
      <c r="AR9" s="25">
        <f>IF(G10&lt;11,11,IF(G10&gt;100,100,G10))</f>
        <v>19.999333373330476</v>
      </c>
    </row>
    <row r="10" spans="2:44">
      <c r="C10" s="25" t="s">
        <v>63</v>
      </c>
      <c r="G10" s="14">
        <f>(AR7+AR8)/2</f>
        <v>19.999333373330476</v>
      </c>
      <c r="H10" s="25" t="s">
        <v>60</v>
      </c>
      <c r="J10" s="10" t="s">
        <v>42</v>
      </c>
      <c r="K10" s="45">
        <f>AI25</f>
        <v>7039.9128289598484</v>
      </c>
      <c r="L10" s="5" t="s">
        <v>23</v>
      </c>
      <c r="M10" s="5"/>
      <c r="N10" s="5"/>
      <c r="O10" s="5">
        <v>7039.91</v>
      </c>
      <c r="P10" s="5" t="s">
        <v>23</v>
      </c>
      <c r="Q10" s="5"/>
      <c r="R10" s="5" t="s">
        <v>37</v>
      </c>
      <c r="S10" s="5" t="s">
        <v>23</v>
      </c>
      <c r="T10" s="12"/>
      <c r="W10" s="5"/>
      <c r="X10" s="5"/>
      <c r="Y10" s="5"/>
      <c r="AA10" s="30"/>
      <c r="AQ10" s="25" t="s">
        <v>65</v>
      </c>
      <c r="AR10" s="9" t="str">
        <f>IF(G10&lt;11,"Yes","No")</f>
        <v>No</v>
      </c>
    </row>
    <row r="11" spans="2:44">
      <c r="J11" s="10"/>
      <c r="K11" s="5"/>
      <c r="L11" s="5"/>
      <c r="M11" s="5"/>
      <c r="N11" s="5"/>
      <c r="O11" s="5"/>
      <c r="P11" s="5"/>
      <c r="Q11" s="5"/>
      <c r="R11" s="5"/>
      <c r="S11" s="5"/>
      <c r="T11" s="12"/>
      <c r="AA11" s="30"/>
    </row>
    <row r="12" spans="2:44" ht="15.75">
      <c r="J12" s="49" t="s">
        <v>45</v>
      </c>
      <c r="K12" s="5"/>
      <c r="L12" s="5"/>
      <c r="M12" s="5"/>
      <c r="N12" s="5"/>
      <c r="O12" s="5"/>
      <c r="P12" s="5"/>
      <c r="Q12" s="5"/>
      <c r="R12" s="5"/>
      <c r="S12" s="5"/>
      <c r="T12" s="12"/>
      <c r="U12" s="5"/>
      <c r="V12" s="11"/>
      <c r="W12" s="5"/>
      <c r="X12" s="5"/>
      <c r="Y12" s="5"/>
      <c r="AA12" s="28"/>
    </row>
    <row r="13" spans="2:44" ht="15.75">
      <c r="B13" s="21" t="s">
        <v>80</v>
      </c>
      <c r="C13" s="13"/>
      <c r="G13" s="9"/>
      <c r="J13" s="10"/>
      <c r="K13" s="5"/>
      <c r="L13" s="5"/>
      <c r="M13" s="5"/>
      <c r="N13" s="5"/>
      <c r="O13" s="5"/>
      <c r="P13" s="5"/>
      <c r="Q13" s="5"/>
      <c r="R13" s="5"/>
      <c r="S13" s="5"/>
      <c r="T13" s="12"/>
      <c r="U13" s="5"/>
      <c r="V13" s="5"/>
      <c r="W13" s="5"/>
      <c r="X13" s="5"/>
      <c r="Y13" s="5"/>
    </row>
    <row r="14" spans="2:44">
      <c r="C14" s="18" t="s">
        <v>81</v>
      </c>
      <c r="D14" s="18" t="s">
        <v>82</v>
      </c>
      <c r="E14" s="18" t="s">
        <v>83</v>
      </c>
      <c r="F14" s="23" t="s">
        <v>97</v>
      </c>
      <c r="G14" s="9"/>
      <c r="J14" s="43" t="s">
        <v>46</v>
      </c>
      <c r="K14" s="44" t="s">
        <v>47</v>
      </c>
      <c r="L14" s="44"/>
      <c r="M14" s="17" t="s">
        <v>102</v>
      </c>
      <c r="N14" s="5"/>
      <c r="O14" s="45"/>
      <c r="P14" s="5"/>
      <c r="Q14" s="5"/>
      <c r="R14" s="5"/>
      <c r="S14" s="5"/>
      <c r="T14" s="12"/>
      <c r="U14" s="5"/>
      <c r="V14" s="5"/>
      <c r="W14" s="5"/>
      <c r="X14" s="5"/>
      <c r="Y14" s="5"/>
    </row>
    <row r="15" spans="2:44">
      <c r="C15" s="9" t="s">
        <v>2</v>
      </c>
      <c r="D15" s="9" t="s">
        <v>84</v>
      </c>
      <c r="E15" s="9" t="s">
        <v>89</v>
      </c>
      <c r="F15" s="9" t="s">
        <v>37</v>
      </c>
      <c r="J15" s="10" t="s">
        <v>99</v>
      </c>
      <c r="K15" s="45">
        <f>AR24/1000</f>
        <v>837.39664681268141</v>
      </c>
      <c r="L15" s="5"/>
      <c r="M15" s="5" t="str">
        <f>IF(G10&lt;11,"N/A",IF(K15&lt;100,"Pass","Fail"))</f>
        <v>Fail</v>
      </c>
      <c r="N15" s="5"/>
      <c r="O15" s="45">
        <v>837.39691617686901</v>
      </c>
      <c r="P15" s="5" t="s">
        <v>94</v>
      </c>
      <c r="Q15" s="5"/>
      <c r="R15" s="45">
        <v>837</v>
      </c>
      <c r="S15" s="5" t="s">
        <v>94</v>
      </c>
      <c r="T15" s="12"/>
      <c r="U15" s="5"/>
      <c r="V15" s="5"/>
      <c r="W15" s="5"/>
      <c r="X15" s="5"/>
      <c r="Y15" s="5"/>
    </row>
    <row r="16" spans="2:44">
      <c r="B16" s="6"/>
      <c r="C16" s="9" t="s">
        <v>2</v>
      </c>
      <c r="D16" s="9" t="s">
        <v>84</v>
      </c>
      <c r="E16" s="9" t="s">
        <v>85</v>
      </c>
      <c r="F16" s="25" t="str">
        <f>IF(G8&lt;100,IF(G9&lt;100,"No","Yes"))</f>
        <v>No</v>
      </c>
      <c r="J16" s="10" t="s">
        <v>100</v>
      </c>
      <c r="K16" s="5">
        <f>AW24/1000</f>
        <v>10864.206011044731</v>
      </c>
      <c r="L16" s="5"/>
      <c r="M16" s="5" t="str">
        <f>IF(G10&lt;11,"N/A",IF(K16&lt;10000,"Pass","Fail"))</f>
        <v>Fail</v>
      </c>
      <c r="N16" s="5"/>
      <c r="O16" s="45">
        <v>10864.2</v>
      </c>
      <c r="P16" s="5" t="s">
        <v>95</v>
      </c>
      <c r="Q16" s="5"/>
      <c r="R16" s="45">
        <v>10900</v>
      </c>
      <c r="S16" s="5" t="s">
        <v>95</v>
      </c>
      <c r="T16" s="12"/>
      <c r="U16" s="5"/>
      <c r="V16" s="5"/>
      <c r="W16" s="5"/>
      <c r="X16" s="5"/>
      <c r="Y16" s="5"/>
    </row>
    <row r="17" spans="2:78">
      <c r="C17" s="9" t="s">
        <v>2</v>
      </c>
      <c r="D17" s="9" t="s">
        <v>84</v>
      </c>
      <c r="E17" s="9" t="s">
        <v>75</v>
      </c>
      <c r="F17" s="25" t="str">
        <f>IF(G8&lt;35,IF(G9&lt;35,"If luminance in 11mrad &lt; 10 cd.m-2","No"))</f>
        <v>If luminance in 11mrad &lt; 10 cd.m-2</v>
      </c>
      <c r="J17" s="10" t="s">
        <v>101</v>
      </c>
      <c r="K17" s="5">
        <f>BB24/1000</f>
        <v>12953.643048755917</v>
      </c>
      <c r="L17" s="5"/>
      <c r="M17" s="54" t="str">
        <f>IF(G10&lt;11,"N/A",IF(K17&lt;4000000,"Pass","Fail"))</f>
        <v>Pass</v>
      </c>
      <c r="N17" s="5"/>
      <c r="O17" s="45">
        <v>12953.6</v>
      </c>
      <c r="P17" s="5" t="s">
        <v>96</v>
      </c>
      <c r="Q17" s="5"/>
      <c r="R17" s="45">
        <v>13000</v>
      </c>
      <c r="S17" s="5" t="s">
        <v>96</v>
      </c>
      <c r="T17" s="12"/>
      <c r="U17" s="11"/>
      <c r="V17" s="15"/>
      <c r="W17" s="5"/>
      <c r="X17" s="5"/>
      <c r="Y17" s="5"/>
    </row>
    <row r="18" spans="2:78">
      <c r="C18" s="9" t="s">
        <v>86</v>
      </c>
      <c r="D18" s="9" t="s">
        <v>86</v>
      </c>
      <c r="E18" s="9" t="s">
        <v>89</v>
      </c>
      <c r="F18" s="9" t="s">
        <v>37</v>
      </c>
      <c r="J18" s="10" t="s">
        <v>103</v>
      </c>
      <c r="K18" s="45">
        <f>BM19/1000</f>
        <v>127513.8971481973</v>
      </c>
      <c r="L18" s="5"/>
      <c r="M18" s="54" t="str">
        <f>IF(K23&lt;10,"N/A",BN20)</f>
        <v>Pass</v>
      </c>
      <c r="N18" s="5"/>
      <c r="O18" s="45">
        <v>127514</v>
      </c>
      <c r="P18" s="5" t="s">
        <v>95</v>
      </c>
      <c r="Q18" s="5"/>
      <c r="R18" s="45">
        <v>128000</v>
      </c>
      <c r="S18" s="5" t="s">
        <v>95</v>
      </c>
      <c r="T18" s="12"/>
    </row>
    <row r="19" spans="2:78">
      <c r="C19" s="9" t="s">
        <v>4</v>
      </c>
      <c r="D19" s="9" t="s">
        <v>87</v>
      </c>
      <c r="E19" s="9">
        <v>11</v>
      </c>
      <c r="F19" s="9" t="s">
        <v>37</v>
      </c>
      <c r="J19" s="10" t="s">
        <v>104</v>
      </c>
      <c r="K19" s="45">
        <f>BR19/1000</f>
        <v>150262.37233701363</v>
      </c>
      <c r="L19" s="5"/>
      <c r="M19" s="5" t="str">
        <f>IF(K23&lt;10,"N/A",BS20)</f>
        <v>Pass</v>
      </c>
      <c r="N19" s="5"/>
      <c r="O19" s="45">
        <v>150262</v>
      </c>
      <c r="P19" s="5" t="s">
        <v>95</v>
      </c>
      <c r="Q19" s="5"/>
      <c r="R19" s="5" t="s">
        <v>37</v>
      </c>
      <c r="S19" s="5" t="s">
        <v>95</v>
      </c>
      <c r="T19" s="12"/>
      <c r="AP19" s="1" t="s">
        <v>77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 t="s">
        <v>30</v>
      </c>
      <c r="BG19" s="5"/>
      <c r="BH19" s="25" t="s">
        <v>78</v>
      </c>
      <c r="BI19" s="25" t="s">
        <v>78</v>
      </c>
      <c r="BJ19" s="5"/>
      <c r="BK19" s="5"/>
      <c r="BL19" s="5"/>
      <c r="BM19" s="5">
        <f>SUM(BO29:BO278)</f>
        <v>127513897.14819729</v>
      </c>
      <c r="BN19" s="5" t="s">
        <v>36</v>
      </c>
      <c r="BO19" s="5"/>
      <c r="BP19" s="5"/>
      <c r="BQ19" s="5"/>
      <c r="BR19" s="5">
        <f>SUM(BT29:BT302)</f>
        <v>150262372.33701363</v>
      </c>
      <c r="BS19" s="5" t="s">
        <v>36</v>
      </c>
      <c r="BT19" s="5"/>
      <c r="BU19" s="5"/>
      <c r="BV19" s="5"/>
      <c r="BW19" s="5"/>
      <c r="BX19" s="5"/>
      <c r="BY19" s="5"/>
      <c r="BZ19" s="5"/>
    </row>
    <row r="20" spans="2:78">
      <c r="C20" s="9" t="s">
        <v>4</v>
      </c>
      <c r="D20" s="9" t="s">
        <v>88</v>
      </c>
      <c r="E20" s="9">
        <v>1.7</v>
      </c>
      <c r="F20" s="9" t="s">
        <v>37</v>
      </c>
      <c r="J20" s="10" t="s">
        <v>105</v>
      </c>
      <c r="K20" s="5">
        <f>BH24/1000</f>
        <v>0</v>
      </c>
      <c r="L20" s="5"/>
      <c r="M20" s="5" t="str">
        <f>IF(K23&gt;10,"N/A",BI25)</f>
        <v>N/A</v>
      </c>
      <c r="N20" s="5"/>
      <c r="O20" s="5" t="s">
        <v>37</v>
      </c>
      <c r="P20" s="5" t="s">
        <v>95</v>
      </c>
      <c r="Q20" s="5"/>
      <c r="R20" s="5" t="s">
        <v>37</v>
      </c>
      <c r="S20" s="5" t="s">
        <v>95</v>
      </c>
      <c r="T20" s="12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25" t="s">
        <v>79</v>
      </c>
      <c r="BI20" s="25" t="s">
        <v>79</v>
      </c>
      <c r="BJ20" s="5"/>
      <c r="BK20" s="5"/>
      <c r="BL20" s="5"/>
      <c r="BM20" s="25" t="s">
        <v>73</v>
      </c>
      <c r="BN20" s="25" t="str">
        <f>IF(BM19&lt;28000000000/G10,"Pass","Fail")</f>
        <v>Pass</v>
      </c>
      <c r="BO20" s="5"/>
      <c r="BP20" s="5"/>
      <c r="BQ20" s="5"/>
      <c r="BR20" s="25" t="s">
        <v>73</v>
      </c>
      <c r="BS20" s="25" t="str">
        <f>IF(BR19&lt;71000000000/G10,"Pass","Fail")</f>
        <v>Pass</v>
      </c>
      <c r="BT20" s="5"/>
      <c r="BU20" s="5"/>
      <c r="BV20" s="5"/>
      <c r="BW20" s="5"/>
      <c r="BX20" s="5"/>
      <c r="BY20" s="5"/>
      <c r="BZ20" s="5"/>
    </row>
    <row r="21" spans="2:78">
      <c r="C21" s="9"/>
      <c r="D21" s="9"/>
      <c r="E21" s="9"/>
      <c r="F21" s="9"/>
      <c r="J21" s="10" t="s">
        <v>106</v>
      </c>
      <c r="K21" s="5">
        <f>BM24/1000</f>
        <v>53.639528030843941</v>
      </c>
      <c r="L21" s="5"/>
      <c r="M21" s="5" t="str">
        <f>IF(K23&gt;10,"N/A",BN25)</f>
        <v>N/A</v>
      </c>
      <c r="N21" s="5"/>
      <c r="O21" s="5" t="s">
        <v>37</v>
      </c>
      <c r="P21" s="5" t="s">
        <v>95</v>
      </c>
      <c r="Q21" s="5"/>
      <c r="R21" s="5" t="s">
        <v>37</v>
      </c>
      <c r="S21" s="5" t="s">
        <v>95</v>
      </c>
      <c r="T21" s="1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J21" s="5"/>
      <c r="BK21" s="5"/>
      <c r="BL21" s="5"/>
      <c r="BO21" s="5"/>
      <c r="BP21" s="5"/>
      <c r="BQ21" s="5"/>
      <c r="BT21" s="5"/>
      <c r="BU21" s="5"/>
      <c r="BV21" s="5"/>
      <c r="BW21" s="5"/>
      <c r="BX21" s="5"/>
      <c r="BY21" s="5"/>
      <c r="BZ21" s="5"/>
    </row>
    <row r="22" spans="2:78">
      <c r="C22" s="9"/>
      <c r="D22" s="9"/>
      <c r="E22" s="9"/>
      <c r="F22" s="9"/>
      <c r="J22" s="10" t="s">
        <v>107</v>
      </c>
      <c r="K22" s="5">
        <f>BR24/1000</f>
        <v>57.832812329578658</v>
      </c>
      <c r="L22" s="5"/>
      <c r="M22" s="5" t="str">
        <f>IF(K23&gt;10,"N/A",BS25)</f>
        <v>N/A</v>
      </c>
      <c r="N22" s="5"/>
      <c r="O22" s="5" t="s">
        <v>37</v>
      </c>
      <c r="P22" s="5" t="s">
        <v>95</v>
      </c>
      <c r="Q22" s="5"/>
      <c r="R22" s="5" t="s">
        <v>37</v>
      </c>
      <c r="S22" s="5" t="s">
        <v>95</v>
      </c>
      <c r="T22" s="1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J22" s="5"/>
      <c r="BK22" s="5"/>
      <c r="BL22" s="5"/>
      <c r="BO22" s="5"/>
      <c r="BP22" s="5"/>
      <c r="BQ22" s="5"/>
      <c r="BT22" s="5"/>
      <c r="BU22" s="5"/>
      <c r="BV22" s="5"/>
      <c r="BW22" s="5"/>
      <c r="BX22" s="5"/>
      <c r="BY22" s="5"/>
      <c r="BZ22" s="5"/>
    </row>
    <row r="23" spans="2:78" ht="15.75" thickBot="1">
      <c r="C23" s="9"/>
      <c r="D23" s="9"/>
      <c r="E23" s="9"/>
      <c r="F23" s="9"/>
      <c r="J23" s="51" t="s">
        <v>43</v>
      </c>
      <c r="K23" s="55">
        <f>'IEC_EN62471- LED non-GLS'!BW25</f>
        <v>10073297.515109971</v>
      </c>
      <c r="L23" s="52"/>
      <c r="M23" s="52"/>
      <c r="N23" s="52"/>
      <c r="O23" s="55">
        <v>10073300</v>
      </c>
      <c r="P23" s="52" t="s">
        <v>35</v>
      </c>
      <c r="Q23" s="52"/>
      <c r="R23" s="56">
        <v>49341054.950000003</v>
      </c>
      <c r="S23" s="52" t="s">
        <v>35</v>
      </c>
      <c r="T23" s="5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"/>
      <c r="BK23" s="5"/>
      <c r="BL23" s="5"/>
      <c r="BO23" s="5"/>
      <c r="BP23" s="5"/>
      <c r="BQ23" s="5"/>
      <c r="BT23" s="5"/>
      <c r="BU23" s="5"/>
      <c r="BV23" s="5"/>
      <c r="BW23" s="5"/>
      <c r="BX23" s="5"/>
      <c r="BY23" s="5"/>
      <c r="BZ23" s="5"/>
    </row>
    <row r="24" spans="2:78" ht="15.75" thickBot="1">
      <c r="AK24" s="5"/>
      <c r="AL24" s="5"/>
      <c r="AM24" s="5"/>
      <c r="AN24" s="5"/>
      <c r="AO24" s="5"/>
      <c r="AQ24" s="5"/>
      <c r="AR24" s="5">
        <f>SUM(AT29:AT138)/(PI()*0.1*0.1/4)</f>
        <v>837396.64681268146</v>
      </c>
      <c r="AS24" s="5" t="s">
        <v>36</v>
      </c>
      <c r="AT24" s="5"/>
      <c r="AU24" s="5"/>
      <c r="AV24" s="5"/>
      <c r="AW24" s="5">
        <f>SUM(AY29:AY138)</f>
        <v>10864206.011044731</v>
      </c>
      <c r="AX24" s="5" t="s">
        <v>36</v>
      </c>
      <c r="AY24" s="5"/>
      <c r="AZ24" s="5"/>
      <c r="BA24" s="5"/>
      <c r="BB24" s="5">
        <f>SUM(BD29:BD162)</f>
        <v>12953643.048755918</v>
      </c>
      <c r="BC24" s="17" t="s">
        <v>36</v>
      </c>
      <c r="BD24" s="5"/>
      <c r="BE24" s="5"/>
      <c r="BF24" s="5"/>
      <c r="BG24" s="5"/>
      <c r="BH24" s="5">
        <f>SUM(BJ115:BJ179)/(PI()*35*35/1000/1000/4)</f>
        <v>0</v>
      </c>
      <c r="BI24" s="5" t="s">
        <v>36</v>
      </c>
      <c r="BJ24" s="5"/>
      <c r="BK24" s="5"/>
      <c r="BL24" s="5"/>
      <c r="BM24" s="5">
        <f>SUM(BO155:BO279)</f>
        <v>53639.52803084394</v>
      </c>
      <c r="BN24" s="5" t="s">
        <v>36</v>
      </c>
      <c r="BO24" s="5"/>
      <c r="BP24" s="5"/>
      <c r="BQ24" s="5"/>
      <c r="BR24" s="5">
        <f>SUM(BT179:BT302)</f>
        <v>57832.812329578657</v>
      </c>
      <c r="BS24" s="5" t="s">
        <v>36</v>
      </c>
      <c r="BT24" s="5"/>
      <c r="BU24" s="5"/>
      <c r="BV24" s="5"/>
      <c r="BW24" s="5"/>
      <c r="BX24" s="5"/>
      <c r="BY24" s="5"/>
      <c r="BZ24" s="5"/>
    </row>
    <row r="25" spans="2:78" ht="15.75" thickBot="1">
      <c r="O25" s="1"/>
      <c r="P25" s="1"/>
      <c r="Q25" s="1"/>
      <c r="T25" s="1" t="s">
        <v>24</v>
      </c>
      <c r="Y25" s="1" t="s">
        <v>2</v>
      </c>
      <c r="AB25" s="4">
        <f>SUM(AC29:AC229)</f>
        <v>0.10975443910650318</v>
      </c>
      <c r="AC25" s="3" t="s">
        <v>22</v>
      </c>
      <c r="AD25" s="4">
        <f>SUM(AD29:AD128)</f>
        <v>7.1871621509876427</v>
      </c>
      <c r="AE25" s="3" t="s">
        <v>22</v>
      </c>
      <c r="AF25" s="4">
        <f>SUM(AG29:AG229)</f>
        <v>6576.8978891945108</v>
      </c>
      <c r="AG25" s="3" t="s">
        <v>22</v>
      </c>
      <c r="AI25" s="2">
        <f>683*SUM(AJ29:AJ204)/1000</f>
        <v>7039.9128289598484</v>
      </c>
      <c r="AJ25" s="3" t="s">
        <v>23</v>
      </c>
      <c r="AK25" s="4">
        <f>SUM(AK29:AK648)</f>
        <v>151.97129209256843</v>
      </c>
      <c r="AL25" s="3" t="s">
        <v>22</v>
      </c>
      <c r="AM25" s="4">
        <f>SUM(AM29:AM648)</f>
        <v>22990.54305958339</v>
      </c>
      <c r="AN25" s="3" t="s">
        <v>22</v>
      </c>
      <c r="AO25" s="5"/>
      <c r="AQ25" s="5"/>
      <c r="AR25" s="5" t="s">
        <v>70</v>
      </c>
      <c r="AS25" s="5" t="str">
        <f>IF(AR24&lt;100000,"Pass", "Fail")</f>
        <v>Fail</v>
      </c>
      <c r="AT25" s="5"/>
      <c r="AU25" s="5"/>
      <c r="AV25" s="5"/>
      <c r="AW25" s="5" t="s">
        <v>71</v>
      </c>
      <c r="AX25" s="5" t="str">
        <f>IF(AW24&lt;10000000,"Pass","Fail")</f>
        <v>Fail</v>
      </c>
      <c r="AY25" s="5"/>
      <c r="AZ25" s="5"/>
      <c r="BA25" s="5"/>
      <c r="BB25" s="5" t="s">
        <v>72</v>
      </c>
      <c r="BC25" s="5" t="str">
        <f>IF(BB24&lt;4000000000, "Pass","Fail")</f>
        <v>Pass</v>
      </c>
      <c r="BD25" s="5"/>
      <c r="BE25" s="5"/>
      <c r="BF25" s="5"/>
      <c r="BG25" s="5"/>
      <c r="BH25" s="5" t="s">
        <v>74</v>
      </c>
      <c r="BI25" s="25" t="str">
        <f>IF(BH24&lt;(6000000000/G10),"Pass","Fail")</f>
        <v>Pass</v>
      </c>
      <c r="BJ25" s="5"/>
      <c r="BK25" s="5"/>
      <c r="BL25" s="5"/>
      <c r="BM25" s="5" t="s">
        <v>74</v>
      </c>
      <c r="BN25" s="25" t="str">
        <f>IF(BM24&lt;(6000000000/G10),"Pass","Fail")</f>
        <v>Pass</v>
      </c>
      <c r="BP25" s="5"/>
      <c r="BQ25" s="5"/>
      <c r="BR25" s="5" t="s">
        <v>74</v>
      </c>
      <c r="BS25" s="25" t="str">
        <f>IF(BR24&lt;(6000000000/G10),"Pass","Fail")</f>
        <v>Pass</v>
      </c>
      <c r="BT25" s="5"/>
      <c r="BU25" s="5"/>
      <c r="BV25" s="5"/>
      <c r="BW25" s="5">
        <f>683*SUM(BX29:BX204)/1000</f>
        <v>10073297.515109971</v>
      </c>
      <c r="BX25" s="5" t="s">
        <v>35</v>
      </c>
      <c r="BY25" s="5"/>
      <c r="BZ25" s="5"/>
    </row>
    <row r="26" spans="2:78">
      <c r="AK26" s="5"/>
      <c r="AL26" s="5"/>
      <c r="AM26" s="5"/>
      <c r="AN26" s="5"/>
      <c r="AO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2:78">
      <c r="B27" s="1" t="s">
        <v>0</v>
      </c>
      <c r="C27" s="1" t="s">
        <v>126</v>
      </c>
      <c r="D27" s="1"/>
      <c r="E27" s="1" t="s">
        <v>0</v>
      </c>
      <c r="F27" s="1" t="s">
        <v>90</v>
      </c>
      <c r="G27" s="1"/>
      <c r="H27" s="1" t="s">
        <v>0</v>
      </c>
      <c r="I27" s="1" t="s">
        <v>91</v>
      </c>
      <c r="J27" s="1"/>
      <c r="K27" s="1" t="s">
        <v>0</v>
      </c>
      <c r="L27" s="1" t="s">
        <v>92</v>
      </c>
      <c r="M27" s="1"/>
      <c r="N27" s="1" t="s">
        <v>0</v>
      </c>
      <c r="O27" s="1" t="s">
        <v>7</v>
      </c>
      <c r="P27" s="1"/>
      <c r="Q27" s="1" t="s">
        <v>0</v>
      </c>
      <c r="R27" s="1" t="s">
        <v>67</v>
      </c>
      <c r="S27" s="1"/>
      <c r="T27" s="1" t="s">
        <v>25</v>
      </c>
      <c r="U27" s="1"/>
      <c r="V27" s="1" t="s">
        <v>0</v>
      </c>
      <c r="W27" s="1" t="s">
        <v>2</v>
      </c>
      <c r="X27" s="1"/>
      <c r="Y27" s="1" t="str">
        <f t="shared" ref="Y27:Z28" si="0">B27</f>
        <v>Wavelength</v>
      </c>
      <c r="Z27" s="1" t="str">
        <f t="shared" si="0"/>
        <v>Irradiance in 2π</v>
      </c>
      <c r="AA27" s="1" t="s">
        <v>13</v>
      </c>
      <c r="AB27" s="1" t="s">
        <v>14</v>
      </c>
      <c r="AC27" s="1" t="s">
        <v>16</v>
      </c>
      <c r="AD27" s="1" t="s">
        <v>17</v>
      </c>
      <c r="AE27" s="1" t="s">
        <v>18</v>
      </c>
      <c r="AF27" s="1" t="s">
        <v>19</v>
      </c>
      <c r="AG27" s="1" t="s">
        <v>20</v>
      </c>
      <c r="AH27" s="1" t="s">
        <v>12</v>
      </c>
      <c r="AI27" s="1" t="s">
        <v>21</v>
      </c>
      <c r="AK27" s="1" t="s">
        <v>26</v>
      </c>
      <c r="AL27" s="1"/>
      <c r="AM27" s="1" t="s">
        <v>27</v>
      </c>
      <c r="AP27" s="1" t="str">
        <f>E27</f>
        <v>Wavelength</v>
      </c>
      <c r="AQ27" s="1" t="str">
        <f>IF(G8&lt;100,IF(G9&lt;100,C27,F27),F27)</f>
        <v>Irradiance in 2π</v>
      </c>
      <c r="AR27" s="1" t="s">
        <v>18</v>
      </c>
      <c r="AS27" s="1" t="s">
        <v>68</v>
      </c>
      <c r="AT27" s="1" t="s">
        <v>20</v>
      </c>
      <c r="AU27" s="1" t="str">
        <f>N27</f>
        <v>Wavelength</v>
      </c>
      <c r="AV27" s="1" t="str">
        <f>O27</f>
        <v>Radiance 11mrad</v>
      </c>
      <c r="AW27" s="1" t="s">
        <v>18</v>
      </c>
      <c r="AX27" s="1" t="s">
        <v>28</v>
      </c>
      <c r="AY27" s="1" t="s">
        <v>20</v>
      </c>
      <c r="AZ27" s="1" t="str">
        <f>Q27</f>
        <v>Wavelength</v>
      </c>
      <c r="BA27" s="1" t="str">
        <f>R27</f>
        <v>Radiance 1.7mrad</v>
      </c>
      <c r="BB27" s="1" t="s">
        <v>18</v>
      </c>
      <c r="BC27" s="1" t="s">
        <v>28</v>
      </c>
      <c r="BD27" s="1" t="s">
        <v>20</v>
      </c>
      <c r="BE27" s="1"/>
      <c r="BF27" s="1" t="str">
        <f>H27</f>
        <v>Wavelength</v>
      </c>
      <c r="BG27" s="1" t="str">
        <f>I27</f>
        <v>Irradiance in 35mrad</v>
      </c>
      <c r="BH27" s="1" t="s">
        <v>29</v>
      </c>
      <c r="BI27" s="1" t="s">
        <v>76</v>
      </c>
      <c r="BJ27" s="1" t="s">
        <v>31</v>
      </c>
      <c r="BK27" s="1" t="str">
        <f>N27</f>
        <v>Wavelength</v>
      </c>
      <c r="BL27" s="1" t="str">
        <f>O27</f>
        <v>Radiance 11mrad</v>
      </c>
      <c r="BM27" s="1" t="s">
        <v>29</v>
      </c>
      <c r="BN27" s="1" t="s">
        <v>30</v>
      </c>
      <c r="BO27" s="1" t="s">
        <v>31</v>
      </c>
      <c r="BP27" s="1" t="str">
        <f>Q27</f>
        <v>Wavelength</v>
      </c>
      <c r="BQ27" s="1" t="str">
        <f>R27</f>
        <v>Radiance 1.7mrad</v>
      </c>
      <c r="BR27" s="1" t="s">
        <v>29</v>
      </c>
      <c r="BS27" s="1" t="s">
        <v>30</v>
      </c>
      <c r="BT27" s="1" t="s">
        <v>31</v>
      </c>
      <c r="BU27" s="1"/>
      <c r="BV27" s="1" t="s">
        <v>12</v>
      </c>
      <c r="BW27" s="1" t="s">
        <v>34</v>
      </c>
      <c r="BY27" s="1"/>
      <c r="BZ27" s="1"/>
    </row>
    <row r="28" spans="2:78">
      <c r="B28" s="1" t="s">
        <v>1</v>
      </c>
      <c r="C28" s="1" t="s">
        <v>3</v>
      </c>
      <c r="D28" s="1"/>
      <c r="E28" s="1" t="s">
        <v>1</v>
      </c>
      <c r="F28" s="1" t="s">
        <v>3</v>
      </c>
      <c r="H28" s="1" t="s">
        <v>1</v>
      </c>
      <c r="I28" s="1" t="s">
        <v>3</v>
      </c>
      <c r="J28" s="1"/>
      <c r="K28" s="1" t="s">
        <v>1</v>
      </c>
      <c r="L28" s="1" t="s">
        <v>6</v>
      </c>
      <c r="M28" s="1"/>
      <c r="N28" s="1" t="s">
        <v>1</v>
      </c>
      <c r="O28" s="1" t="s">
        <v>5</v>
      </c>
      <c r="Q28" s="1" t="s">
        <v>1</v>
      </c>
      <c r="R28" s="1" t="s">
        <v>5</v>
      </c>
      <c r="S28" s="1"/>
      <c r="T28" s="1"/>
      <c r="U28" s="1"/>
      <c r="V28" s="1" t="s">
        <v>1</v>
      </c>
      <c r="W28" s="1" t="s">
        <v>3</v>
      </c>
      <c r="X28" s="1"/>
      <c r="Y28" s="1" t="str">
        <f t="shared" si="0"/>
        <v>(nm)</v>
      </c>
      <c r="Z28" s="1" t="str">
        <f t="shared" si="0"/>
        <v>(mW m-2 nm-1)</v>
      </c>
      <c r="AA28" s="1" t="s">
        <v>6</v>
      </c>
      <c r="AB28" s="1" t="str">
        <f>Z28</f>
        <v>(mW m-2 nm-1)</v>
      </c>
      <c r="AC28" s="1" t="s">
        <v>15</v>
      </c>
      <c r="AD28" s="1" t="s">
        <v>15</v>
      </c>
      <c r="AE28" s="1" t="s">
        <v>6</v>
      </c>
      <c r="AF28" s="1" t="str">
        <f>AD28</f>
        <v>(mW.m-2)</v>
      </c>
      <c r="AG28" s="1" t="str">
        <f>AD28</f>
        <v>(mW.m-2)</v>
      </c>
      <c r="AH28" s="1" t="s">
        <v>6</v>
      </c>
      <c r="AI28" s="1" t="s">
        <v>15</v>
      </c>
      <c r="AK28" s="1" t="s">
        <v>15</v>
      </c>
      <c r="AL28" s="1"/>
      <c r="AM28" s="1" t="s">
        <v>15</v>
      </c>
      <c r="AP28" s="1" t="str">
        <f>E28</f>
        <v>(nm)</v>
      </c>
      <c r="AQ28" s="1" t="str">
        <f>IF(G8&lt;100,IF(G9&lt;100,C28,F28),F28)</f>
        <v>(mW m-2 nm-1)</v>
      </c>
      <c r="AR28" s="1" t="s">
        <v>6</v>
      </c>
      <c r="AS28" s="1" t="s">
        <v>69</v>
      </c>
      <c r="AT28" s="1" t="s">
        <v>15</v>
      </c>
      <c r="AU28" s="1" t="str">
        <f>N28</f>
        <v>(nm)</v>
      </c>
      <c r="AV28" s="1" t="str">
        <f>O28</f>
        <v>(mW m-2 sr-1 nm-1)</v>
      </c>
      <c r="AW28" s="1" t="str">
        <f t="shared" ref="AW28" si="1">AA28</f>
        <v>(au)</v>
      </c>
      <c r="AX28" s="1" t="s">
        <v>32</v>
      </c>
      <c r="AY28" s="1" t="s">
        <v>33</v>
      </c>
      <c r="AZ28" s="1" t="str">
        <f t="shared" ref="AZ28:BA91" si="2">Q28</f>
        <v>(nm)</v>
      </c>
      <c r="BA28" s="1" t="str">
        <f t="shared" si="2"/>
        <v>(mW m-2 sr-1 nm-1)</v>
      </c>
      <c r="BB28" s="1" t="str">
        <f t="shared" ref="BB28" si="3">AE28</f>
        <v>(au)</v>
      </c>
      <c r="BC28" s="1" t="s">
        <v>32</v>
      </c>
      <c r="BD28" s="1" t="s">
        <v>33</v>
      </c>
      <c r="BE28" s="1"/>
      <c r="BF28" s="1" t="str">
        <f t="shared" ref="BF28:BG28" si="4">H28</f>
        <v>(nm)</v>
      </c>
      <c r="BG28" s="1" t="str">
        <f t="shared" si="4"/>
        <v>(mW m-2 nm-1)</v>
      </c>
      <c r="BH28" s="1" t="s">
        <v>6</v>
      </c>
      <c r="BI28" s="1" t="s">
        <v>69</v>
      </c>
      <c r="BJ28" s="1" t="s">
        <v>15</v>
      </c>
      <c r="BK28" s="1" t="str">
        <f t="shared" ref="BK28:BL91" si="5">N28</f>
        <v>(nm)</v>
      </c>
      <c r="BL28" s="1" t="str">
        <f t="shared" si="5"/>
        <v>(mW m-2 sr-1 nm-1)</v>
      </c>
      <c r="BM28" s="1" t="s">
        <v>6</v>
      </c>
      <c r="BN28" s="1" t="s">
        <v>32</v>
      </c>
      <c r="BO28" s="1" t="s">
        <v>33</v>
      </c>
      <c r="BP28" s="1" t="str">
        <f t="shared" ref="BP28:BQ91" si="6">Q28</f>
        <v>(nm)</v>
      </c>
      <c r="BQ28" s="1" t="str">
        <f t="shared" si="6"/>
        <v>(mW m-2 sr-1 nm-1)</v>
      </c>
      <c r="BR28" s="1" t="s">
        <v>6</v>
      </c>
      <c r="BS28" s="1" t="s">
        <v>32</v>
      </c>
      <c r="BT28" s="1" t="s">
        <v>33</v>
      </c>
      <c r="BU28" s="1"/>
      <c r="BV28" s="1" t="s">
        <v>6</v>
      </c>
      <c r="BW28" s="1" t="s">
        <v>15</v>
      </c>
      <c r="BY28" s="1"/>
      <c r="BZ28" s="1"/>
    </row>
    <row r="29" spans="2:78">
      <c r="B29" s="25">
        <v>200</v>
      </c>
      <c r="C29" s="36">
        <v>0</v>
      </c>
      <c r="E29" s="25">
        <v>200</v>
      </c>
      <c r="F29" s="36"/>
      <c r="H29" s="25">
        <v>200</v>
      </c>
      <c r="I29" s="36"/>
      <c r="K29" s="25">
        <v>1000</v>
      </c>
      <c r="L29" s="36"/>
      <c r="N29" s="25">
        <v>300</v>
      </c>
      <c r="O29" s="36">
        <v>9.2687074660263782E-3</v>
      </c>
      <c r="Q29" s="25">
        <v>300</v>
      </c>
      <c r="R29" s="36">
        <v>0.24909391905924422</v>
      </c>
      <c r="T29" s="25">
        <f>L29/C249</f>
        <v>0</v>
      </c>
      <c r="U29" s="25" t="e">
        <f>L29/$T$51</f>
        <v>#DIV/0!</v>
      </c>
      <c r="V29" s="25">
        <f>B29</f>
        <v>200</v>
      </c>
      <c r="W29" s="25">
        <f>C29</f>
        <v>0</v>
      </c>
      <c r="Y29" s="25">
        <f>V29</f>
        <v>200</v>
      </c>
      <c r="Z29" s="25">
        <f>W29</f>
        <v>0</v>
      </c>
      <c r="AA29" s="25">
        <f>VLOOKUP(Y29,'Hazard Weighting Functions'!$B$5:$G$1205,2,FALSE)</f>
        <v>0.03</v>
      </c>
      <c r="AB29" s="25">
        <f>Z29*AA29</f>
        <v>0</v>
      </c>
      <c r="AC29" s="25">
        <f>0.5*(Y30-Y29)*(AB29+AB30)</f>
        <v>0</v>
      </c>
      <c r="AE29" s="25">
        <f>VLOOKUP(Y29,'Hazard Weighting Functions'!$B$5:$G$1205,3,FALSE)</f>
        <v>0</v>
      </c>
      <c r="AF29" s="25">
        <f>AE29*Z29</f>
        <v>0</v>
      </c>
      <c r="AG29" s="25">
        <f>0.5*(Y30-Y29)*(AF29+AF30)</f>
        <v>0</v>
      </c>
      <c r="AH29" s="25">
        <f>VLOOKUP(Y29,'Hazard Weighting Functions'!$B$5:$G$1205,5,FALSE)</f>
        <v>0</v>
      </c>
      <c r="AI29" s="25">
        <f>AH29*Z29</f>
        <v>0</v>
      </c>
      <c r="AJ29" s="25">
        <f>0.5*(Y30-Y29)*(AI29+AI30)</f>
        <v>0</v>
      </c>
      <c r="AP29" s="20">
        <f>'IEC_EN62471- LED non-GLS'!E79</f>
        <v>300</v>
      </c>
      <c r="AQ29" s="20">
        <f>IF($G$8&lt;100,IF($G$9&lt;100,C79,F79),F79)</f>
        <v>4.7758922856852722E-4</v>
      </c>
      <c r="AR29" s="25">
        <f>VLOOKUP(AP29,'Hazard Weighting Functions'!$B$5:$G$1205,3,FALSE)</f>
        <v>0.01</v>
      </c>
      <c r="AS29" s="25">
        <f>AQ29*AR29</f>
        <v>4.7758922856852727E-6</v>
      </c>
      <c r="AT29" s="25">
        <f>0.5*(AP30-AP29)*(AS29+AS30)</f>
        <v>2.2995926792148518E-5</v>
      </c>
      <c r="AU29" s="20">
        <f t="shared" ref="AU29:AU92" si="7">N29</f>
        <v>300</v>
      </c>
      <c r="AV29" s="25">
        <f>O29</f>
        <v>9.2687074660263782E-3</v>
      </c>
      <c r="AW29" s="25">
        <f>VLOOKUP(AU29,'Hazard Weighting Functions'!$B$5:$G$1205,3,FALSE)</f>
        <v>0.01</v>
      </c>
      <c r="AX29" s="25">
        <f>AV29*AW29</f>
        <v>9.2687074660263786E-5</v>
      </c>
      <c r="AY29" s="25">
        <f>0.5*(AU30-AU29)*(AX29+AX30)</f>
        <v>2.0116555588394635E-4</v>
      </c>
      <c r="AZ29" s="20">
        <f t="shared" si="2"/>
        <v>300</v>
      </c>
      <c r="BA29" s="20">
        <f t="shared" si="2"/>
        <v>0.24909391905924422</v>
      </c>
      <c r="BB29" s="25">
        <f>VLOOKUP(AZ29,'Hazard Weighting Functions'!$B$5:$G$1205,3,FALSE)</f>
        <v>0.01</v>
      </c>
      <c r="BC29" s="25">
        <f>BA29*BB29</f>
        <v>2.4909391905924422E-3</v>
      </c>
      <c r="BD29" s="25">
        <f>0.5*(AZ30-AZ29)*(BC29+BC30)</f>
        <v>2.4909391905924422E-3</v>
      </c>
      <c r="BF29" s="20">
        <f>H119</f>
        <v>380</v>
      </c>
      <c r="BG29" s="20">
        <f>I119</f>
        <v>0</v>
      </c>
      <c r="BH29" s="25">
        <f>VLOOKUP(BF29,'Hazard Weighting Functions'!$B$5:$G$1205,4,FALSE)</f>
        <v>0.1</v>
      </c>
      <c r="BI29" s="25">
        <f>BG29*BH29</f>
        <v>0</v>
      </c>
      <c r="BJ29" s="25">
        <f>0.5*(BF30-BF29)*(BI29+BI30)</f>
        <v>0</v>
      </c>
      <c r="BK29" s="1">
        <f t="shared" si="5"/>
        <v>300</v>
      </c>
      <c r="BL29" s="20">
        <f t="shared" si="5"/>
        <v>9.2687074660263782E-3</v>
      </c>
      <c r="BM29" s="25">
        <f>VLOOKUP(BK29,'Hazard Weighting Functions'!$B$5:$G$1205,4,FALSE)</f>
        <v>0</v>
      </c>
      <c r="BN29" s="25">
        <f>BM29*BL29</f>
        <v>0</v>
      </c>
      <c r="BO29" s="25">
        <f>0.5*(BK30-BK29)*(BN29+BN30)</f>
        <v>0</v>
      </c>
      <c r="BP29" s="20">
        <f t="shared" si="6"/>
        <v>300</v>
      </c>
      <c r="BQ29" s="20">
        <f t="shared" si="6"/>
        <v>0.24909391905924422</v>
      </c>
      <c r="BR29" s="25">
        <f>VLOOKUP(BP29,'Hazard Weighting Functions'!$B$5:$G$1205,4,FALSE)</f>
        <v>0</v>
      </c>
      <c r="BS29" s="25">
        <f>BR29*BQ29</f>
        <v>0</v>
      </c>
      <c r="BT29" s="25">
        <f>0.5*(BP30-BP29)*(BS29+BS30)</f>
        <v>0</v>
      </c>
      <c r="BV29" s="25">
        <f>VLOOKUP(BK29,'Hazard Weighting Functions'!$B$5:$G$1205,5,FALSE)</f>
        <v>0</v>
      </c>
      <c r="BW29" s="25">
        <f>BV29*BL29</f>
        <v>0</v>
      </c>
      <c r="BX29" s="25">
        <f>0.5*(BK30-BK29)*(BW29+BW30)</f>
        <v>0</v>
      </c>
    </row>
    <row r="30" spans="2:78">
      <c r="B30" s="25">
        <v>202</v>
      </c>
      <c r="C30" s="36">
        <v>0</v>
      </c>
      <c r="E30" s="25">
        <v>202</v>
      </c>
      <c r="F30" s="36"/>
      <c r="H30" s="25">
        <v>202</v>
      </c>
      <c r="I30" s="36"/>
      <c r="K30" s="25">
        <v>1005</v>
      </c>
      <c r="L30" s="36"/>
      <c r="N30" s="25">
        <v>302</v>
      </c>
      <c r="O30" s="36">
        <v>1.0847848122368255E-2</v>
      </c>
      <c r="Q30" s="25">
        <v>302</v>
      </c>
      <c r="R30" s="36">
        <v>0</v>
      </c>
      <c r="T30" s="25">
        <f>L30/C250</f>
        <v>0</v>
      </c>
      <c r="U30" s="25" t="e">
        <f>L29/T29</f>
        <v>#DIV/0!</v>
      </c>
      <c r="V30" s="25">
        <f t="shared" ref="V30:W93" si="8">B30</f>
        <v>202</v>
      </c>
      <c r="W30" s="25">
        <f t="shared" si="8"/>
        <v>0</v>
      </c>
      <c r="Y30" s="25">
        <f t="shared" ref="Y30:Z93" si="9">V30</f>
        <v>202</v>
      </c>
      <c r="Z30" s="25">
        <f t="shared" si="9"/>
        <v>0</v>
      </c>
      <c r="AA30" s="25">
        <f>VLOOKUP(Y30,'Hazard Weighting Functions'!$B$5:$G$1205,2,FALSE)</f>
        <v>3.7100000000000001E-2</v>
      </c>
      <c r="AB30" s="25">
        <f t="shared" ref="AB30:AB93" si="10">Z30*AA30</f>
        <v>0</v>
      </c>
      <c r="AC30" s="25">
        <f t="shared" ref="AC30:AC93" si="11">0.5*(Y31-Y30)*(AB30+AB31)</f>
        <v>0</v>
      </c>
      <c r="AE30" s="25">
        <f>VLOOKUP(Y30,'Hazard Weighting Functions'!$B$5:$G$1205,3,FALSE)</f>
        <v>0</v>
      </c>
      <c r="AF30" s="25">
        <f t="shared" ref="AF30:AF93" si="12">AE30*Z30</f>
        <v>0</v>
      </c>
      <c r="AG30" s="25">
        <f t="shared" ref="AG30:AG93" si="13">0.5*(Y31-Y30)*(AF30+AF31)</f>
        <v>0</v>
      </c>
      <c r="AH30" s="25">
        <f>VLOOKUP(Y30,'Hazard Weighting Functions'!$B$5:$G$1205,5,FALSE)</f>
        <v>0</v>
      </c>
      <c r="AI30" s="25">
        <f t="shared" ref="AI30:AI93" si="14">AH30*Z30</f>
        <v>0</v>
      </c>
      <c r="AJ30" s="25">
        <f t="shared" ref="AJ30:AJ93" si="15">0.5*(Y31-Y30)*(AI30+AI31)</f>
        <v>0</v>
      </c>
      <c r="AP30" s="20">
        <f>'IEC_EN62471- LED non-GLS'!E80</f>
        <v>302</v>
      </c>
      <c r="AQ30" s="20">
        <f t="shared" ref="AQ30:AQ93" si="16">IF($G$8&lt;100,IF($G$9&lt;100,C80,F80),F80)</f>
        <v>1.8220034506463243E-3</v>
      </c>
      <c r="AR30" s="25">
        <f>VLOOKUP(AP30,'Hazard Weighting Functions'!$B$5:$G$1205,3,FALSE)</f>
        <v>0.01</v>
      </c>
      <c r="AS30" s="25">
        <f t="shared" ref="AS30:AS93" si="17">AQ30*AR30</f>
        <v>1.8220034506463244E-5</v>
      </c>
      <c r="AT30" s="25">
        <f t="shared" ref="AT30:AT93" si="18">0.5*(AP31-AP30)*(AS30+AS31)</f>
        <v>1.8220034506463244E-5</v>
      </c>
      <c r="AU30" s="20">
        <f t="shared" si="7"/>
        <v>302</v>
      </c>
      <c r="AV30" s="25">
        <f>O30</f>
        <v>1.0847848122368255E-2</v>
      </c>
      <c r="AW30" s="25">
        <f>VLOOKUP(AU30,'Hazard Weighting Functions'!$B$5:$G$1205,3,FALSE)</f>
        <v>0.01</v>
      </c>
      <c r="AX30" s="25">
        <f t="shared" ref="AX30:AX93" si="19">AV30*AW30</f>
        <v>1.0847848122368255E-4</v>
      </c>
      <c r="AY30" s="25">
        <f t="shared" ref="AY30:AY93" si="20">0.5*(AU31-AU30)*(AX30+AX31)</f>
        <v>2.6330451103863904E-4</v>
      </c>
      <c r="AZ30" s="20">
        <f t="shared" si="2"/>
        <v>302</v>
      </c>
      <c r="BA30" s="20">
        <f t="shared" si="2"/>
        <v>0</v>
      </c>
      <c r="BB30" s="25">
        <f>VLOOKUP(AZ30,'Hazard Weighting Functions'!$B$5:$G$1205,3,FALSE)</f>
        <v>0.01</v>
      </c>
      <c r="BC30" s="25">
        <f t="shared" ref="BC30:BC93" si="21">BA30*BB30</f>
        <v>0</v>
      </c>
      <c r="BD30" s="25">
        <f t="shared" ref="BD30:BD93" si="22">0.5*(AZ31-AZ30)*(BC30+BC31)</f>
        <v>0</v>
      </c>
      <c r="BF30" s="20">
        <f t="shared" ref="BF30:BG45" si="23">H120</f>
        <v>382</v>
      </c>
      <c r="BG30" s="20">
        <f t="shared" si="23"/>
        <v>0</v>
      </c>
      <c r="BH30" s="25">
        <f>VLOOKUP(BF30,'Hazard Weighting Functions'!$B$5:$G$1205,4,FALSE)</f>
        <v>0.11106503099999999</v>
      </c>
      <c r="BI30" s="25">
        <f t="shared" ref="BI30:BI93" si="24">BG30*BH30</f>
        <v>0</v>
      </c>
      <c r="BJ30" s="25">
        <f t="shared" ref="BJ30:BJ93" si="25">0.5*(BF31-BF30)*(BI30+BI31)</f>
        <v>0</v>
      </c>
      <c r="BK30" s="1">
        <f t="shared" si="5"/>
        <v>302</v>
      </c>
      <c r="BL30" s="20">
        <f t="shared" si="5"/>
        <v>1.0847848122368255E-2</v>
      </c>
      <c r="BM30" s="25">
        <f>VLOOKUP(BK30,'Hazard Weighting Functions'!$B$5:$G$1205,4,FALSE)</f>
        <v>0</v>
      </c>
      <c r="BN30" s="25">
        <f t="shared" ref="BN30:BN93" si="26">BM30*BL30</f>
        <v>0</v>
      </c>
      <c r="BO30" s="25">
        <f t="shared" ref="BO30:BO67" si="27">0.5*(BK31-BK30)*(BN30+BN31)</f>
        <v>0</v>
      </c>
      <c r="BP30" s="20">
        <f t="shared" si="6"/>
        <v>302</v>
      </c>
      <c r="BQ30" s="20">
        <f t="shared" si="6"/>
        <v>0</v>
      </c>
      <c r="BR30" s="25">
        <f>VLOOKUP(BP30,'Hazard Weighting Functions'!$B$5:$G$1205,4,FALSE)</f>
        <v>0</v>
      </c>
      <c r="BS30" s="25">
        <f t="shared" ref="BS30:BS93" si="28">BR30*BQ30</f>
        <v>0</v>
      </c>
      <c r="BT30" s="25">
        <f t="shared" ref="BT30:BT93" si="29">0.5*(BP31-BP30)*(BS30+BS31)</f>
        <v>0</v>
      </c>
      <c r="BV30" s="25">
        <f>VLOOKUP(BK30,'Hazard Weighting Functions'!$B$5:$G$1205,5,FALSE)</f>
        <v>0</v>
      </c>
      <c r="BW30" s="25">
        <f t="shared" ref="BW30:BW93" si="30">BV30*BL30</f>
        <v>0</v>
      </c>
      <c r="BX30" s="25">
        <f t="shared" ref="BX30:BX93" si="31">0.5*(BK31-BK30)*(BW30+BW31)</f>
        <v>0</v>
      </c>
    </row>
    <row r="31" spans="2:78">
      <c r="B31" s="25">
        <v>204</v>
      </c>
      <c r="C31" s="36">
        <v>0</v>
      </c>
      <c r="E31" s="25">
        <v>204</v>
      </c>
      <c r="F31" s="36"/>
      <c r="H31" s="25">
        <v>204</v>
      </c>
      <c r="I31" s="36"/>
      <c r="K31" s="25">
        <v>1010</v>
      </c>
      <c r="L31" s="36"/>
      <c r="N31" s="25">
        <v>304</v>
      </c>
      <c r="O31" s="36">
        <v>1.5482602981495652E-2</v>
      </c>
      <c r="Q31" s="25">
        <v>304</v>
      </c>
      <c r="R31" s="36">
        <v>0</v>
      </c>
      <c r="T31" s="25">
        <f>L31/C251</f>
        <v>0</v>
      </c>
      <c r="V31" s="25">
        <f t="shared" si="8"/>
        <v>204</v>
      </c>
      <c r="W31" s="25">
        <f t="shared" si="8"/>
        <v>0</v>
      </c>
      <c r="Y31" s="25">
        <f t="shared" si="9"/>
        <v>204</v>
      </c>
      <c r="Z31" s="25">
        <f t="shared" si="9"/>
        <v>0</v>
      </c>
      <c r="AA31" s="25">
        <f>VLOOKUP(Y31,'Hazard Weighting Functions'!$B$5:$G$1205,2,FALSE)</f>
        <v>4.5900000000000003E-2</v>
      </c>
      <c r="AB31" s="25">
        <f t="shared" si="10"/>
        <v>0</v>
      </c>
      <c r="AC31" s="25">
        <f t="shared" si="11"/>
        <v>3.0422421784587158E-3</v>
      </c>
      <c r="AE31" s="25">
        <f>VLOOKUP(Y31,'Hazard Weighting Functions'!$B$5:$G$1205,3,FALSE)</f>
        <v>0</v>
      </c>
      <c r="AF31" s="25">
        <f t="shared" si="12"/>
        <v>0</v>
      </c>
      <c r="AG31" s="25">
        <f t="shared" si="13"/>
        <v>0</v>
      </c>
      <c r="AH31" s="25">
        <f>VLOOKUP(Y31,'Hazard Weighting Functions'!$B$5:$G$1205,5,FALSE)</f>
        <v>0</v>
      </c>
      <c r="AI31" s="25">
        <f t="shared" si="14"/>
        <v>0</v>
      </c>
      <c r="AJ31" s="25">
        <f t="shared" si="15"/>
        <v>0</v>
      </c>
      <c r="AP31" s="20">
        <f>'IEC_EN62471- LED non-GLS'!E81</f>
        <v>304</v>
      </c>
      <c r="AQ31" s="20">
        <f t="shared" si="16"/>
        <v>0</v>
      </c>
      <c r="AR31" s="25">
        <f>VLOOKUP(AP31,'Hazard Weighting Functions'!$B$5:$G$1205,3,FALSE)</f>
        <v>0.01</v>
      </c>
      <c r="AS31" s="25">
        <f t="shared" si="17"/>
        <v>0</v>
      </c>
      <c r="AT31" s="25">
        <f t="shared" si="18"/>
        <v>4.7314316010466104E-6</v>
      </c>
      <c r="AU31" s="20">
        <f t="shared" si="7"/>
        <v>304</v>
      </c>
      <c r="AV31" s="25">
        <f>O31</f>
        <v>1.5482602981495652E-2</v>
      </c>
      <c r="AW31" s="25">
        <f>VLOOKUP(AU31,'Hazard Weighting Functions'!$B$5:$G$1205,3,FALSE)</f>
        <v>0.01</v>
      </c>
      <c r="AX31" s="25">
        <f t="shared" si="19"/>
        <v>1.5482602981495652E-4</v>
      </c>
      <c r="AY31" s="25">
        <f t="shared" si="20"/>
        <v>2.8923199546701051E-4</v>
      </c>
      <c r="AZ31" s="20">
        <f t="shared" si="2"/>
        <v>304</v>
      </c>
      <c r="BA31" s="20">
        <f t="shared" si="2"/>
        <v>0</v>
      </c>
      <c r="BB31" s="25">
        <f>VLOOKUP(AZ31,'Hazard Weighting Functions'!$B$5:$G$1205,3,FALSE)</f>
        <v>0.01</v>
      </c>
      <c r="BC31" s="25">
        <f t="shared" si="21"/>
        <v>0</v>
      </c>
      <c r="BD31" s="25">
        <f t="shared" si="22"/>
        <v>5.2577816651217593E-3</v>
      </c>
      <c r="BF31" s="20">
        <f t="shared" si="23"/>
        <v>384</v>
      </c>
      <c r="BG31" s="20">
        <f t="shared" si="23"/>
        <v>0</v>
      </c>
      <c r="BH31" s="25">
        <f>VLOOKUP(BF31,'Hazard Weighting Functions'!$B$5:$G$1205,4,FALSE)</f>
        <v>0.12335441</v>
      </c>
      <c r="BI31" s="25">
        <f t="shared" si="24"/>
        <v>0</v>
      </c>
      <c r="BJ31" s="25">
        <f t="shared" si="25"/>
        <v>0</v>
      </c>
      <c r="BK31" s="1">
        <f t="shared" si="5"/>
        <v>304</v>
      </c>
      <c r="BL31" s="20">
        <f t="shared" si="5"/>
        <v>1.5482602981495652E-2</v>
      </c>
      <c r="BM31" s="25">
        <f>VLOOKUP(BK31,'Hazard Weighting Functions'!$B$5:$G$1205,4,FALSE)</f>
        <v>0</v>
      </c>
      <c r="BN31" s="25">
        <f t="shared" si="26"/>
        <v>0</v>
      </c>
      <c r="BO31" s="25">
        <f t="shared" si="27"/>
        <v>0</v>
      </c>
      <c r="BP31" s="20">
        <f t="shared" si="6"/>
        <v>304</v>
      </c>
      <c r="BQ31" s="20">
        <f t="shared" si="6"/>
        <v>0</v>
      </c>
      <c r="BR31" s="25">
        <f>VLOOKUP(BP31,'Hazard Weighting Functions'!$B$5:$G$1205,4,FALSE)</f>
        <v>0</v>
      </c>
      <c r="BS31" s="25">
        <f t="shared" si="28"/>
        <v>0</v>
      </c>
      <c r="BT31" s="25">
        <f t="shared" si="29"/>
        <v>0</v>
      </c>
      <c r="BV31" s="25">
        <f>VLOOKUP(BK31,'Hazard Weighting Functions'!$B$5:$G$1205,5,FALSE)</f>
        <v>0</v>
      </c>
      <c r="BW31" s="25">
        <f t="shared" si="30"/>
        <v>0</v>
      </c>
      <c r="BX31" s="25">
        <f t="shared" si="31"/>
        <v>0</v>
      </c>
    </row>
    <row r="32" spans="2:78">
      <c r="B32" s="25">
        <v>206</v>
      </c>
      <c r="C32" s="36">
        <v>5.5213106687091028E-2</v>
      </c>
      <c r="E32" s="25">
        <v>206</v>
      </c>
      <c r="F32" s="36"/>
      <c r="H32" s="25">
        <v>206</v>
      </c>
      <c r="I32" s="36"/>
      <c r="K32" s="25">
        <v>1015</v>
      </c>
      <c r="L32" s="36"/>
      <c r="N32" s="25">
        <v>306</v>
      </c>
      <c r="O32" s="36">
        <v>1.3440596565205401E-2</v>
      </c>
      <c r="Q32" s="25">
        <v>306</v>
      </c>
      <c r="R32" s="36">
        <v>0.5257781665121759</v>
      </c>
      <c r="T32" s="25">
        <f>L32/C252</f>
        <v>0</v>
      </c>
      <c r="V32" s="25">
        <f t="shared" si="8"/>
        <v>206</v>
      </c>
      <c r="W32" s="25">
        <f t="shared" si="8"/>
        <v>5.5213106687091028E-2</v>
      </c>
      <c r="Y32" s="25">
        <f t="shared" si="9"/>
        <v>206</v>
      </c>
      <c r="Z32" s="25">
        <f t="shared" si="9"/>
        <v>5.5213106687091028E-2</v>
      </c>
      <c r="AA32" s="25">
        <f>VLOOKUP(Y32,'Hazard Weighting Functions'!$B$5:$G$1205,2,FALSE)</f>
        <v>5.5100000000000003E-2</v>
      </c>
      <c r="AB32" s="25">
        <f t="shared" si="10"/>
        <v>3.0422421784587158E-3</v>
      </c>
      <c r="AC32" s="25">
        <f t="shared" si="11"/>
        <v>3.0422421784587158E-3</v>
      </c>
      <c r="AE32" s="25">
        <f>VLOOKUP(Y32,'Hazard Weighting Functions'!$B$5:$G$1205,3,FALSE)</f>
        <v>0</v>
      </c>
      <c r="AF32" s="25">
        <f t="shared" si="12"/>
        <v>0</v>
      </c>
      <c r="AG32" s="25">
        <f t="shared" si="13"/>
        <v>0</v>
      </c>
      <c r="AH32" s="25">
        <f>VLOOKUP(Y32,'Hazard Weighting Functions'!$B$5:$G$1205,5,FALSE)</f>
        <v>0</v>
      </c>
      <c r="AI32" s="25">
        <f t="shared" si="14"/>
        <v>0</v>
      </c>
      <c r="AJ32" s="25">
        <f t="shared" si="15"/>
        <v>0</v>
      </c>
      <c r="AP32" s="20">
        <f>'IEC_EN62471- LED non-GLS'!E82</f>
        <v>306</v>
      </c>
      <c r="AQ32" s="20">
        <f t="shared" si="16"/>
        <v>4.7314316010466101E-4</v>
      </c>
      <c r="AR32" s="25">
        <f>VLOOKUP(AP32,'Hazard Weighting Functions'!$B$5:$G$1205,3,FALSE)</f>
        <v>0.01</v>
      </c>
      <c r="AS32" s="25">
        <f t="shared" si="17"/>
        <v>4.7314316010466104E-6</v>
      </c>
      <c r="AT32" s="25">
        <f t="shared" si="18"/>
        <v>4.7314316010466104E-6</v>
      </c>
      <c r="AU32" s="20">
        <f t="shared" si="7"/>
        <v>306</v>
      </c>
      <c r="AV32" s="25">
        <f>O32</f>
        <v>1.3440596565205401E-2</v>
      </c>
      <c r="AW32" s="25">
        <f>VLOOKUP(AU32,'Hazard Weighting Functions'!$B$5:$G$1205,3,FALSE)</f>
        <v>0.01</v>
      </c>
      <c r="AX32" s="25">
        <f t="shared" si="19"/>
        <v>1.3440596565205402E-4</v>
      </c>
      <c r="AY32" s="25">
        <f t="shared" si="20"/>
        <v>1.9387820443844244E-4</v>
      </c>
      <c r="AZ32" s="20">
        <f t="shared" si="2"/>
        <v>306</v>
      </c>
      <c r="BA32" s="20">
        <f t="shared" si="2"/>
        <v>0.5257781665121759</v>
      </c>
      <c r="BB32" s="25">
        <f>VLOOKUP(AZ32,'Hazard Weighting Functions'!$B$5:$G$1205,3,FALSE)</f>
        <v>0.01</v>
      </c>
      <c r="BC32" s="25">
        <f t="shared" si="21"/>
        <v>5.2577816651217593E-3</v>
      </c>
      <c r="BD32" s="25">
        <f t="shared" si="22"/>
        <v>5.2577816651217593E-3</v>
      </c>
      <c r="BF32" s="20">
        <f t="shared" si="23"/>
        <v>386</v>
      </c>
      <c r="BG32" s="20">
        <f t="shared" si="23"/>
        <v>0</v>
      </c>
      <c r="BH32" s="25">
        <f>VLOOKUP(BF32,'Hazard Weighting Functions'!$B$5:$G$1205,4,FALSE)</f>
        <v>0.14816399599999999</v>
      </c>
      <c r="BI32" s="25">
        <f t="shared" si="24"/>
        <v>0</v>
      </c>
      <c r="BJ32" s="25">
        <f t="shared" si="25"/>
        <v>0</v>
      </c>
      <c r="BK32" s="1">
        <f t="shared" si="5"/>
        <v>306</v>
      </c>
      <c r="BL32" s="20">
        <f t="shared" si="5"/>
        <v>1.3440596565205401E-2</v>
      </c>
      <c r="BM32" s="25">
        <f>VLOOKUP(BK32,'Hazard Weighting Functions'!$B$5:$G$1205,4,FALSE)</f>
        <v>0</v>
      </c>
      <c r="BN32" s="25">
        <f t="shared" si="26"/>
        <v>0</v>
      </c>
      <c r="BO32" s="25">
        <f t="shared" si="27"/>
        <v>0</v>
      </c>
      <c r="BP32" s="20">
        <f t="shared" si="6"/>
        <v>306</v>
      </c>
      <c r="BQ32" s="20">
        <f t="shared" si="6"/>
        <v>0.5257781665121759</v>
      </c>
      <c r="BR32" s="25">
        <f>VLOOKUP(BP32,'Hazard Weighting Functions'!$B$5:$G$1205,4,FALSE)</f>
        <v>0</v>
      </c>
      <c r="BS32" s="25">
        <f t="shared" si="28"/>
        <v>0</v>
      </c>
      <c r="BT32" s="25">
        <f t="shared" si="29"/>
        <v>0</v>
      </c>
      <c r="BV32" s="25">
        <f>VLOOKUP(BK32,'Hazard Weighting Functions'!$B$5:$G$1205,5,FALSE)</f>
        <v>0</v>
      </c>
      <c r="BW32" s="25">
        <f t="shared" si="30"/>
        <v>0</v>
      </c>
      <c r="BX32" s="25">
        <f t="shared" si="31"/>
        <v>0</v>
      </c>
    </row>
    <row r="33" spans="2:76">
      <c r="B33" s="25">
        <v>208</v>
      </c>
      <c r="C33" s="36">
        <v>0</v>
      </c>
      <c r="E33" s="25">
        <v>208</v>
      </c>
      <c r="F33" s="36"/>
      <c r="H33" s="25">
        <v>208</v>
      </c>
      <c r="I33" s="36"/>
      <c r="K33" s="25">
        <v>1020</v>
      </c>
      <c r="L33" s="36"/>
      <c r="N33" s="25">
        <v>308</v>
      </c>
      <c r="O33" s="36">
        <v>5.9472238786388437E-3</v>
      </c>
      <c r="Q33" s="25">
        <v>308</v>
      </c>
      <c r="R33" s="36">
        <v>0</v>
      </c>
      <c r="T33" s="25">
        <f>L33/C253</f>
        <v>0</v>
      </c>
      <c r="V33" s="25">
        <f t="shared" si="8"/>
        <v>208</v>
      </c>
      <c r="W33" s="25">
        <f t="shared" si="8"/>
        <v>0</v>
      </c>
      <c r="Y33" s="25">
        <f t="shared" si="9"/>
        <v>208</v>
      </c>
      <c r="Z33" s="25">
        <f t="shared" si="9"/>
        <v>0</v>
      </c>
      <c r="AA33" s="25">
        <f>VLOOKUP(Y33,'Hazard Weighting Functions'!$B$5:$G$1205,2,FALSE)</f>
        <v>6.4299999999999996E-2</v>
      </c>
      <c r="AB33" s="25">
        <f t="shared" si="10"/>
        <v>0</v>
      </c>
      <c r="AC33" s="25">
        <f t="shared" si="11"/>
        <v>0</v>
      </c>
      <c r="AE33" s="25">
        <f>VLOOKUP(Y33,'Hazard Weighting Functions'!$B$5:$G$1205,3,FALSE)</f>
        <v>0</v>
      </c>
      <c r="AF33" s="25">
        <f t="shared" si="12"/>
        <v>0</v>
      </c>
      <c r="AG33" s="25">
        <f t="shared" si="13"/>
        <v>0</v>
      </c>
      <c r="AH33" s="25">
        <f>VLOOKUP(Y33,'Hazard Weighting Functions'!$B$5:$G$1205,5,FALSE)</f>
        <v>0</v>
      </c>
      <c r="AI33" s="25">
        <f t="shared" si="14"/>
        <v>0</v>
      </c>
      <c r="AJ33" s="25">
        <f t="shared" si="15"/>
        <v>0</v>
      </c>
      <c r="AP33" s="20">
        <f>'IEC_EN62471- LED non-GLS'!E83</f>
        <v>308</v>
      </c>
      <c r="AQ33" s="20">
        <f t="shared" si="16"/>
        <v>0</v>
      </c>
      <c r="AR33" s="25">
        <f>VLOOKUP(AP33,'Hazard Weighting Functions'!$B$5:$G$1205,3,FALSE)</f>
        <v>0.01</v>
      </c>
      <c r="AS33" s="25">
        <f t="shared" si="17"/>
        <v>0</v>
      </c>
      <c r="AT33" s="25">
        <f t="shared" si="18"/>
        <v>2.2466777614356866E-5</v>
      </c>
      <c r="AU33" s="20">
        <f t="shared" si="7"/>
        <v>308</v>
      </c>
      <c r="AV33" s="25">
        <f>O33</f>
        <v>5.9472238786388437E-3</v>
      </c>
      <c r="AW33" s="25">
        <f>VLOOKUP(AU33,'Hazard Weighting Functions'!$B$5:$G$1205,3,FALSE)</f>
        <v>0.01</v>
      </c>
      <c r="AX33" s="25">
        <f t="shared" si="19"/>
        <v>5.9472238786388438E-5</v>
      </c>
      <c r="AY33" s="25">
        <f t="shared" si="20"/>
        <v>1.4676255515787653E-4</v>
      </c>
      <c r="AZ33" s="20">
        <f t="shared" si="2"/>
        <v>308</v>
      </c>
      <c r="BA33" s="20">
        <f t="shared" si="2"/>
        <v>0</v>
      </c>
      <c r="BB33" s="25">
        <f>VLOOKUP(AZ33,'Hazard Weighting Functions'!$B$5:$G$1205,3,FALSE)</f>
        <v>0.01</v>
      </c>
      <c r="BC33" s="25">
        <f t="shared" si="21"/>
        <v>0</v>
      </c>
      <c r="BD33" s="25">
        <f t="shared" si="22"/>
        <v>3.8927281808811246E-3</v>
      </c>
      <c r="BF33" s="20">
        <f t="shared" si="23"/>
        <v>388</v>
      </c>
      <c r="BG33" s="20">
        <f t="shared" si="23"/>
        <v>0</v>
      </c>
      <c r="BH33" s="25">
        <f>VLOOKUP(BF33,'Hazard Weighting Functions'!$B$5:$G$1205,4,FALSE)</f>
        <v>0.19246038300000001</v>
      </c>
      <c r="BI33" s="25">
        <f t="shared" si="24"/>
        <v>0</v>
      </c>
      <c r="BJ33" s="25">
        <f t="shared" si="25"/>
        <v>0</v>
      </c>
      <c r="BK33" s="1">
        <f t="shared" si="5"/>
        <v>308</v>
      </c>
      <c r="BL33" s="20">
        <f t="shared" si="5"/>
        <v>5.9472238786388437E-3</v>
      </c>
      <c r="BM33" s="25">
        <f>VLOOKUP(BK33,'Hazard Weighting Functions'!$B$5:$G$1205,4,FALSE)</f>
        <v>0</v>
      </c>
      <c r="BN33" s="25">
        <f t="shared" si="26"/>
        <v>0</v>
      </c>
      <c r="BO33" s="25">
        <f t="shared" si="27"/>
        <v>0</v>
      </c>
      <c r="BP33" s="20">
        <f t="shared" si="6"/>
        <v>308</v>
      </c>
      <c r="BQ33" s="20">
        <f t="shared" si="6"/>
        <v>0</v>
      </c>
      <c r="BR33" s="25">
        <f>VLOOKUP(BP33,'Hazard Weighting Functions'!$B$5:$G$1205,4,FALSE)</f>
        <v>0</v>
      </c>
      <c r="BS33" s="25">
        <f t="shared" si="28"/>
        <v>0</v>
      </c>
      <c r="BT33" s="25">
        <f t="shared" si="29"/>
        <v>0</v>
      </c>
      <c r="BV33" s="25">
        <f>VLOOKUP(BK33,'Hazard Weighting Functions'!$B$5:$G$1205,5,FALSE)</f>
        <v>0</v>
      </c>
      <c r="BW33" s="25">
        <f t="shared" si="30"/>
        <v>0</v>
      </c>
      <c r="BX33" s="25">
        <f t="shared" si="31"/>
        <v>0</v>
      </c>
    </row>
    <row r="34" spans="2:76">
      <c r="B34" s="25">
        <v>210</v>
      </c>
      <c r="C34" s="36">
        <v>0</v>
      </c>
      <c r="E34" s="25">
        <v>210</v>
      </c>
      <c r="F34" s="36"/>
      <c r="H34" s="25">
        <v>210</v>
      </c>
      <c r="I34" s="36"/>
      <c r="K34" s="25">
        <v>1025</v>
      </c>
      <c r="L34" s="36"/>
      <c r="N34" s="25">
        <v>310</v>
      </c>
      <c r="O34" s="36">
        <v>8.7290316371488076E-3</v>
      </c>
      <c r="Q34" s="25">
        <v>310</v>
      </c>
      <c r="R34" s="36">
        <v>0.38927281808811243</v>
      </c>
      <c r="T34" s="25">
        <f>L34/C254</f>
        <v>0</v>
      </c>
      <c r="V34" s="25">
        <f t="shared" si="8"/>
        <v>210</v>
      </c>
      <c r="W34" s="25">
        <f t="shared" si="8"/>
        <v>0</v>
      </c>
      <c r="Y34" s="25">
        <f t="shared" si="9"/>
        <v>210</v>
      </c>
      <c r="Z34" s="25">
        <f t="shared" si="9"/>
        <v>0</v>
      </c>
      <c r="AA34" s="25">
        <f>VLOOKUP(Y34,'Hazard Weighting Functions'!$B$5:$G$1205,2,FALSE)</f>
        <v>7.4999999999999997E-2</v>
      </c>
      <c r="AB34" s="25">
        <f t="shared" si="10"/>
        <v>0</v>
      </c>
      <c r="AC34" s="25">
        <f t="shared" si="11"/>
        <v>0</v>
      </c>
      <c r="AE34" s="25">
        <f>VLOOKUP(Y34,'Hazard Weighting Functions'!$B$5:$G$1205,3,FALSE)</f>
        <v>0</v>
      </c>
      <c r="AF34" s="25">
        <f t="shared" si="12"/>
        <v>0</v>
      </c>
      <c r="AG34" s="25">
        <f t="shared" si="13"/>
        <v>0</v>
      </c>
      <c r="AH34" s="25">
        <f>VLOOKUP(Y34,'Hazard Weighting Functions'!$B$5:$G$1205,5,FALSE)</f>
        <v>0</v>
      </c>
      <c r="AI34" s="25">
        <f t="shared" si="14"/>
        <v>0</v>
      </c>
      <c r="AJ34" s="25">
        <f t="shared" si="15"/>
        <v>0</v>
      </c>
      <c r="AP34" s="20">
        <f>'IEC_EN62471- LED non-GLS'!E84</f>
        <v>310</v>
      </c>
      <c r="AQ34" s="20">
        <f t="shared" si="16"/>
        <v>2.2466777614356865E-3</v>
      </c>
      <c r="AR34" s="25">
        <f>VLOOKUP(AP34,'Hazard Weighting Functions'!$B$5:$G$1205,3,FALSE)</f>
        <v>0.01</v>
      </c>
      <c r="AS34" s="25">
        <f t="shared" si="17"/>
        <v>2.2466777614356866E-5</v>
      </c>
      <c r="AT34" s="25">
        <f t="shared" si="18"/>
        <v>3.977371258949479E-5</v>
      </c>
      <c r="AU34" s="20">
        <f t="shared" si="7"/>
        <v>310</v>
      </c>
      <c r="AV34" s="25">
        <f>O34</f>
        <v>8.7290316371488076E-3</v>
      </c>
      <c r="AW34" s="25">
        <f>VLOOKUP(AU34,'Hazard Weighting Functions'!$B$5:$G$1205,3,FALSE)</f>
        <v>0.01</v>
      </c>
      <c r="AX34" s="25">
        <f t="shared" si="19"/>
        <v>8.7290316371488075E-5</v>
      </c>
      <c r="AY34" s="25">
        <f t="shared" si="20"/>
        <v>1.4902410429017745E-4</v>
      </c>
      <c r="AZ34" s="20">
        <f t="shared" si="2"/>
        <v>310</v>
      </c>
      <c r="BA34" s="20">
        <f t="shared" si="2"/>
        <v>0.38927281808811243</v>
      </c>
      <c r="BB34" s="25">
        <f>VLOOKUP(AZ34,'Hazard Weighting Functions'!$B$5:$G$1205,3,FALSE)</f>
        <v>0.01</v>
      </c>
      <c r="BC34" s="25">
        <f t="shared" si="21"/>
        <v>3.8927281808811246E-3</v>
      </c>
      <c r="BD34" s="25">
        <f t="shared" si="22"/>
        <v>3.8927281808811246E-3</v>
      </c>
      <c r="BF34" s="20">
        <f t="shared" si="23"/>
        <v>390</v>
      </c>
      <c r="BG34" s="20">
        <f t="shared" si="23"/>
        <v>0</v>
      </c>
      <c r="BH34" s="25">
        <f>VLOOKUP(BF34,'Hazard Weighting Functions'!$B$5:$G$1205,4,FALSE)</f>
        <v>0.25</v>
      </c>
      <c r="BI34" s="25">
        <f t="shared" si="24"/>
        <v>0</v>
      </c>
      <c r="BJ34" s="25">
        <f t="shared" si="25"/>
        <v>0</v>
      </c>
      <c r="BK34" s="1">
        <f t="shared" si="5"/>
        <v>310</v>
      </c>
      <c r="BL34" s="20">
        <f t="shared" si="5"/>
        <v>8.7290316371488076E-3</v>
      </c>
      <c r="BM34" s="25">
        <f>VLOOKUP(BK34,'Hazard Weighting Functions'!$B$5:$G$1205,4,FALSE)</f>
        <v>0</v>
      </c>
      <c r="BN34" s="25">
        <f t="shared" si="26"/>
        <v>0</v>
      </c>
      <c r="BO34" s="25">
        <f t="shared" si="27"/>
        <v>0</v>
      </c>
      <c r="BP34" s="20">
        <f t="shared" si="6"/>
        <v>310</v>
      </c>
      <c r="BQ34" s="20">
        <f t="shared" si="6"/>
        <v>0.38927281808811243</v>
      </c>
      <c r="BR34" s="25">
        <f>VLOOKUP(BP34,'Hazard Weighting Functions'!$B$5:$G$1205,4,FALSE)</f>
        <v>0</v>
      </c>
      <c r="BS34" s="25">
        <f t="shared" si="28"/>
        <v>0</v>
      </c>
      <c r="BT34" s="25">
        <f t="shared" si="29"/>
        <v>0</v>
      </c>
      <c r="BV34" s="25">
        <f>VLOOKUP(BK34,'Hazard Weighting Functions'!$B$5:$G$1205,5,FALSE)</f>
        <v>0</v>
      </c>
      <c r="BW34" s="25">
        <f t="shared" si="30"/>
        <v>0</v>
      </c>
      <c r="BX34" s="25">
        <f t="shared" si="31"/>
        <v>0</v>
      </c>
    </row>
    <row r="35" spans="2:76">
      <c r="B35" s="25">
        <v>212</v>
      </c>
      <c r="C35" s="36">
        <v>0</v>
      </c>
      <c r="E35" s="25">
        <v>212</v>
      </c>
      <c r="F35" s="36"/>
      <c r="H35" s="25">
        <v>212</v>
      </c>
      <c r="I35" s="36"/>
      <c r="K35" s="25">
        <v>1030</v>
      </c>
      <c r="L35" s="36"/>
      <c r="N35" s="25">
        <v>312</v>
      </c>
      <c r="O35" s="36">
        <v>6.1733787918689369E-3</v>
      </c>
      <c r="Q35" s="25">
        <v>312</v>
      </c>
      <c r="R35" s="36">
        <v>0</v>
      </c>
      <c r="T35" s="25">
        <f>L35/C255</f>
        <v>0</v>
      </c>
      <c r="V35" s="25">
        <f t="shared" si="8"/>
        <v>212</v>
      </c>
      <c r="W35" s="25">
        <f t="shared" si="8"/>
        <v>0</v>
      </c>
      <c r="Y35" s="25">
        <f t="shared" si="9"/>
        <v>212</v>
      </c>
      <c r="Z35" s="25">
        <f t="shared" si="9"/>
        <v>0</v>
      </c>
      <c r="AA35" s="25">
        <f>VLOOKUP(Y35,'Hazard Weighting Functions'!$B$5:$G$1205,2,FALSE)</f>
        <v>8.2400000000000001E-2</v>
      </c>
      <c r="AB35" s="25">
        <f t="shared" si="10"/>
        <v>0</v>
      </c>
      <c r="AC35" s="25">
        <f t="shared" si="11"/>
        <v>8.3493559437069337E-4</v>
      </c>
      <c r="AE35" s="25">
        <f>VLOOKUP(Y35,'Hazard Weighting Functions'!$B$5:$G$1205,3,FALSE)</f>
        <v>0</v>
      </c>
      <c r="AF35" s="25">
        <f t="shared" si="12"/>
        <v>0</v>
      </c>
      <c r="AG35" s="25">
        <f t="shared" si="13"/>
        <v>0</v>
      </c>
      <c r="AH35" s="25">
        <f>VLOOKUP(Y35,'Hazard Weighting Functions'!$B$5:$G$1205,5,FALSE)</f>
        <v>0</v>
      </c>
      <c r="AI35" s="25">
        <f t="shared" si="14"/>
        <v>0</v>
      </c>
      <c r="AJ35" s="25">
        <f t="shared" si="15"/>
        <v>0</v>
      </c>
      <c r="AP35" s="20">
        <f>'IEC_EN62471- LED non-GLS'!E85</f>
        <v>312</v>
      </c>
      <c r="AQ35" s="20">
        <f t="shared" si="16"/>
        <v>1.7306934975137927E-3</v>
      </c>
      <c r="AR35" s="25">
        <f>VLOOKUP(AP35,'Hazard Weighting Functions'!$B$5:$G$1205,3,FALSE)</f>
        <v>0.01</v>
      </c>
      <c r="AS35" s="25">
        <f t="shared" si="17"/>
        <v>1.7306934975137927E-5</v>
      </c>
      <c r="AT35" s="25">
        <f t="shared" si="18"/>
        <v>3.6842474926658327E-5</v>
      </c>
      <c r="AU35" s="20">
        <f t="shared" si="7"/>
        <v>312</v>
      </c>
      <c r="AV35" s="25">
        <f>O35</f>
        <v>6.1733787918689369E-3</v>
      </c>
      <c r="AW35" s="25">
        <f>VLOOKUP(AU35,'Hazard Weighting Functions'!$B$5:$G$1205,3,FALSE)</f>
        <v>0.01</v>
      </c>
      <c r="AX35" s="25">
        <f t="shared" si="19"/>
        <v>6.1733787918689373E-5</v>
      </c>
      <c r="AY35" s="25">
        <f t="shared" si="20"/>
        <v>1.8619184076793124E-4</v>
      </c>
      <c r="AZ35" s="20">
        <f t="shared" si="2"/>
        <v>312</v>
      </c>
      <c r="BA35" s="20">
        <f t="shared" si="2"/>
        <v>0</v>
      </c>
      <c r="BB35" s="25">
        <f>VLOOKUP(AZ35,'Hazard Weighting Functions'!$B$5:$G$1205,3,FALSE)</f>
        <v>0.01</v>
      </c>
      <c r="BC35" s="25">
        <f t="shared" si="21"/>
        <v>0</v>
      </c>
      <c r="BD35" s="25">
        <f t="shared" si="22"/>
        <v>0</v>
      </c>
      <c r="BF35" s="20">
        <f t="shared" si="23"/>
        <v>392</v>
      </c>
      <c r="BG35" s="20">
        <f t="shared" si="23"/>
        <v>0</v>
      </c>
      <c r="BH35" s="25">
        <f>VLOOKUP(BF35,'Hazard Weighting Functions'!$B$5:$G$1205,4,FALSE)</f>
        <v>0.32987697799999999</v>
      </c>
      <c r="BI35" s="25">
        <f t="shared" si="24"/>
        <v>0</v>
      </c>
      <c r="BJ35" s="25">
        <f t="shared" si="25"/>
        <v>0</v>
      </c>
      <c r="BK35" s="1">
        <f t="shared" si="5"/>
        <v>312</v>
      </c>
      <c r="BL35" s="20">
        <f t="shared" si="5"/>
        <v>6.1733787918689369E-3</v>
      </c>
      <c r="BM35" s="25">
        <f>VLOOKUP(BK35,'Hazard Weighting Functions'!$B$5:$G$1205,4,FALSE)</f>
        <v>0</v>
      </c>
      <c r="BN35" s="25">
        <f t="shared" si="26"/>
        <v>0</v>
      </c>
      <c r="BO35" s="25">
        <f t="shared" si="27"/>
        <v>0</v>
      </c>
      <c r="BP35" s="20">
        <f t="shared" si="6"/>
        <v>312</v>
      </c>
      <c r="BQ35" s="20">
        <f t="shared" si="6"/>
        <v>0</v>
      </c>
      <c r="BR35" s="25">
        <f>VLOOKUP(BP35,'Hazard Weighting Functions'!$B$5:$G$1205,4,FALSE)</f>
        <v>0</v>
      </c>
      <c r="BS35" s="25">
        <f t="shared" si="28"/>
        <v>0</v>
      </c>
      <c r="BT35" s="25">
        <f t="shared" si="29"/>
        <v>0</v>
      </c>
      <c r="BV35" s="25">
        <f>VLOOKUP(BK35,'Hazard Weighting Functions'!$B$5:$G$1205,5,FALSE)</f>
        <v>0</v>
      </c>
      <c r="BW35" s="25">
        <f t="shared" si="30"/>
        <v>0</v>
      </c>
      <c r="BX35" s="25">
        <f t="shared" si="31"/>
        <v>0</v>
      </c>
    </row>
    <row r="36" spans="2:76">
      <c r="B36" s="25">
        <v>214</v>
      </c>
      <c r="C36" s="36">
        <v>9.2156246619281828E-3</v>
      </c>
      <c r="E36" s="25">
        <v>214</v>
      </c>
      <c r="F36" s="36"/>
      <c r="H36" s="25">
        <v>214</v>
      </c>
      <c r="I36" s="36"/>
      <c r="K36" s="25">
        <v>1035</v>
      </c>
      <c r="L36" s="36"/>
      <c r="N36" s="25">
        <v>314</v>
      </c>
      <c r="O36" s="36">
        <v>1.2445805284924186E-2</v>
      </c>
      <c r="Q36" s="25">
        <v>314</v>
      </c>
      <c r="R36" s="36">
        <v>0</v>
      </c>
      <c r="T36" s="25">
        <f>L36/C256</f>
        <v>0</v>
      </c>
      <c r="V36" s="25">
        <f t="shared" si="8"/>
        <v>214</v>
      </c>
      <c r="W36" s="25">
        <f t="shared" si="8"/>
        <v>9.2156246619281828E-3</v>
      </c>
      <c r="Y36" s="25">
        <f t="shared" si="9"/>
        <v>214</v>
      </c>
      <c r="Z36" s="25">
        <f t="shared" si="9"/>
        <v>9.2156246619281828E-3</v>
      </c>
      <c r="AA36" s="25">
        <f>VLOOKUP(Y36,'Hazard Weighting Functions'!$B$5:$G$1205,2,FALSE)</f>
        <v>9.06E-2</v>
      </c>
      <c r="AB36" s="25">
        <f t="shared" si="10"/>
        <v>8.3493559437069337E-4</v>
      </c>
      <c r="AC36" s="25">
        <f t="shared" si="11"/>
        <v>2.1781283290926937E-3</v>
      </c>
      <c r="AE36" s="25">
        <f>VLOOKUP(Y36,'Hazard Weighting Functions'!$B$5:$G$1205,3,FALSE)</f>
        <v>0</v>
      </c>
      <c r="AF36" s="25">
        <f t="shared" si="12"/>
        <v>0</v>
      </c>
      <c r="AG36" s="25">
        <f t="shared" si="13"/>
        <v>0</v>
      </c>
      <c r="AH36" s="25">
        <f>VLOOKUP(Y36,'Hazard Weighting Functions'!$B$5:$G$1205,5,FALSE)</f>
        <v>0</v>
      </c>
      <c r="AI36" s="25">
        <f t="shared" si="14"/>
        <v>0</v>
      </c>
      <c r="AJ36" s="25">
        <f t="shared" si="15"/>
        <v>0</v>
      </c>
      <c r="AP36" s="20">
        <f>'IEC_EN62471- LED non-GLS'!E86</f>
        <v>314</v>
      </c>
      <c r="AQ36" s="20">
        <f t="shared" si="16"/>
        <v>1.95355399515204E-3</v>
      </c>
      <c r="AR36" s="25">
        <f>VLOOKUP(AP36,'Hazard Weighting Functions'!$B$5:$G$1205,3,FALSE)</f>
        <v>0.01</v>
      </c>
      <c r="AS36" s="25">
        <f t="shared" si="17"/>
        <v>1.95355399515204E-5</v>
      </c>
      <c r="AT36" s="25">
        <f t="shared" si="18"/>
        <v>1.95355399515204E-5</v>
      </c>
      <c r="AU36" s="20">
        <f t="shared" si="7"/>
        <v>314</v>
      </c>
      <c r="AV36" s="25">
        <f>O36</f>
        <v>1.2445805284924186E-2</v>
      </c>
      <c r="AW36" s="25">
        <f>VLOOKUP(AU36,'Hazard Weighting Functions'!$B$5:$G$1205,3,FALSE)</f>
        <v>0.01</v>
      </c>
      <c r="AX36" s="25">
        <f t="shared" si="19"/>
        <v>1.2445805284924186E-4</v>
      </c>
      <c r="AY36" s="25">
        <f t="shared" si="20"/>
        <v>3.0146509550945386E-4</v>
      </c>
      <c r="AZ36" s="20">
        <f t="shared" si="2"/>
        <v>314</v>
      </c>
      <c r="BA36" s="20">
        <f t="shared" si="2"/>
        <v>0</v>
      </c>
      <c r="BB36" s="25">
        <f>VLOOKUP(AZ36,'Hazard Weighting Functions'!$B$5:$G$1205,3,FALSE)</f>
        <v>0.01</v>
      </c>
      <c r="BC36" s="25">
        <f t="shared" si="21"/>
        <v>0</v>
      </c>
      <c r="BD36" s="25">
        <f t="shared" si="22"/>
        <v>4.7447676122762917E-3</v>
      </c>
      <c r="BF36" s="20">
        <f t="shared" si="23"/>
        <v>394</v>
      </c>
      <c r="BG36" s="20">
        <f t="shared" si="23"/>
        <v>0</v>
      </c>
      <c r="BH36" s="25">
        <f>VLOOKUP(BF36,'Hazard Weighting Functions'!$B$5:$G$1205,4,FALSE)</f>
        <v>0.43527528199999999</v>
      </c>
      <c r="BI36" s="25">
        <f t="shared" si="24"/>
        <v>0</v>
      </c>
      <c r="BJ36" s="25">
        <f t="shared" si="25"/>
        <v>0</v>
      </c>
      <c r="BK36" s="1">
        <f t="shared" si="5"/>
        <v>314</v>
      </c>
      <c r="BL36" s="20">
        <f t="shared" si="5"/>
        <v>1.2445805284924186E-2</v>
      </c>
      <c r="BM36" s="25">
        <f>VLOOKUP(BK36,'Hazard Weighting Functions'!$B$5:$G$1205,4,FALSE)</f>
        <v>0</v>
      </c>
      <c r="BN36" s="25">
        <f t="shared" si="26"/>
        <v>0</v>
      </c>
      <c r="BO36" s="25">
        <f t="shared" si="27"/>
        <v>0</v>
      </c>
      <c r="BP36" s="20">
        <f t="shared" si="6"/>
        <v>314</v>
      </c>
      <c r="BQ36" s="20">
        <f t="shared" si="6"/>
        <v>0</v>
      </c>
      <c r="BR36" s="25">
        <f>VLOOKUP(BP36,'Hazard Weighting Functions'!$B$5:$G$1205,4,FALSE)</f>
        <v>0</v>
      </c>
      <c r="BS36" s="25">
        <f t="shared" si="28"/>
        <v>0</v>
      </c>
      <c r="BT36" s="25">
        <f t="shared" si="29"/>
        <v>0</v>
      </c>
      <c r="BV36" s="25">
        <f>VLOOKUP(BK36,'Hazard Weighting Functions'!$B$5:$G$1205,5,FALSE)</f>
        <v>0</v>
      </c>
      <c r="BW36" s="25">
        <f t="shared" si="30"/>
        <v>0</v>
      </c>
      <c r="BX36" s="25">
        <f t="shared" si="31"/>
        <v>0</v>
      </c>
    </row>
    <row r="37" spans="2:76">
      <c r="B37" s="25">
        <v>216</v>
      </c>
      <c r="C37" s="36">
        <v>1.3499424469567841E-2</v>
      </c>
      <c r="E37" s="25">
        <v>216</v>
      </c>
      <c r="F37" s="36"/>
      <c r="H37" s="25">
        <v>216</v>
      </c>
      <c r="I37" s="36"/>
      <c r="K37" s="25">
        <v>1040</v>
      </c>
      <c r="L37" s="36"/>
      <c r="N37" s="25">
        <v>316</v>
      </c>
      <c r="O37" s="36">
        <v>1.7700704266021199E-2</v>
      </c>
      <c r="Q37" s="25">
        <v>316</v>
      </c>
      <c r="R37" s="36">
        <v>0.47447676122762916</v>
      </c>
      <c r="T37" s="25">
        <f>L37/C257</f>
        <v>0</v>
      </c>
      <c r="V37" s="25">
        <f t="shared" si="8"/>
        <v>216</v>
      </c>
      <c r="W37" s="25">
        <f t="shared" si="8"/>
        <v>1.3499424469567841E-2</v>
      </c>
      <c r="Y37" s="25">
        <f t="shared" si="9"/>
        <v>216</v>
      </c>
      <c r="Z37" s="25">
        <f t="shared" si="9"/>
        <v>1.3499424469567841E-2</v>
      </c>
      <c r="AA37" s="25">
        <f>VLOOKUP(Y37,'Hazard Weighting Functions'!$B$5:$G$1205,2,FALSE)</f>
        <v>9.9500000000000005E-2</v>
      </c>
      <c r="AB37" s="25">
        <f t="shared" si="10"/>
        <v>1.3431927347220003E-3</v>
      </c>
      <c r="AC37" s="25">
        <f t="shared" si="11"/>
        <v>3.2411536025029552E-3</v>
      </c>
      <c r="AE37" s="25">
        <f>VLOOKUP(Y37,'Hazard Weighting Functions'!$B$5:$G$1205,3,FALSE)</f>
        <v>0</v>
      </c>
      <c r="AF37" s="25">
        <f t="shared" si="12"/>
        <v>0</v>
      </c>
      <c r="AG37" s="25">
        <f t="shared" si="13"/>
        <v>0</v>
      </c>
      <c r="AH37" s="25">
        <f>VLOOKUP(Y37,'Hazard Weighting Functions'!$B$5:$G$1205,5,FALSE)</f>
        <v>0</v>
      </c>
      <c r="AI37" s="25">
        <f t="shared" si="14"/>
        <v>0</v>
      </c>
      <c r="AJ37" s="25">
        <f t="shared" si="15"/>
        <v>0</v>
      </c>
      <c r="AP37" s="20">
        <f>'IEC_EN62471- LED non-GLS'!E87</f>
        <v>316</v>
      </c>
      <c r="AQ37" s="20">
        <f t="shared" si="16"/>
        <v>0</v>
      </c>
      <c r="AR37" s="25">
        <f>VLOOKUP(AP37,'Hazard Weighting Functions'!$B$5:$G$1205,3,FALSE)</f>
        <v>0.01</v>
      </c>
      <c r="AS37" s="25">
        <f t="shared" si="17"/>
        <v>0</v>
      </c>
      <c r="AT37" s="25">
        <f t="shared" si="18"/>
        <v>0</v>
      </c>
      <c r="AU37" s="20">
        <f t="shared" si="7"/>
        <v>316</v>
      </c>
      <c r="AV37" s="25">
        <f>O37</f>
        <v>1.7700704266021199E-2</v>
      </c>
      <c r="AW37" s="25">
        <f>VLOOKUP(AU37,'Hazard Weighting Functions'!$B$5:$G$1205,3,FALSE)</f>
        <v>0.01</v>
      </c>
      <c r="AX37" s="25">
        <f t="shared" si="19"/>
        <v>1.77007042660212E-4</v>
      </c>
      <c r="AY37" s="25">
        <f t="shared" si="20"/>
        <v>3.3185708022526465E-4</v>
      </c>
      <c r="AZ37" s="20">
        <f t="shared" si="2"/>
        <v>316</v>
      </c>
      <c r="BA37" s="20">
        <f t="shared" si="2"/>
        <v>0.47447676122762916</v>
      </c>
      <c r="BB37" s="25">
        <f>VLOOKUP(AZ37,'Hazard Weighting Functions'!$B$5:$G$1205,3,FALSE)</f>
        <v>0.01</v>
      </c>
      <c r="BC37" s="25">
        <f t="shared" si="21"/>
        <v>4.7447676122762917E-3</v>
      </c>
      <c r="BD37" s="25">
        <f t="shared" si="22"/>
        <v>7.5715193444885988E-3</v>
      </c>
      <c r="BF37" s="20">
        <f t="shared" si="23"/>
        <v>396</v>
      </c>
      <c r="BG37" s="20">
        <f t="shared" si="23"/>
        <v>0</v>
      </c>
      <c r="BH37" s="25">
        <f>VLOOKUP(BF37,'Hazard Weighting Functions'!$B$5:$G$1205,4,FALSE)</f>
        <v>0.57434917699999999</v>
      </c>
      <c r="BI37" s="25">
        <f t="shared" si="24"/>
        <v>0</v>
      </c>
      <c r="BJ37" s="25">
        <f t="shared" si="25"/>
        <v>0</v>
      </c>
      <c r="BK37" s="1">
        <f t="shared" si="5"/>
        <v>316</v>
      </c>
      <c r="BL37" s="20">
        <f t="shared" si="5"/>
        <v>1.7700704266021199E-2</v>
      </c>
      <c r="BM37" s="25">
        <f>VLOOKUP(BK37,'Hazard Weighting Functions'!$B$5:$G$1205,4,FALSE)</f>
        <v>0</v>
      </c>
      <c r="BN37" s="25">
        <f t="shared" si="26"/>
        <v>0</v>
      </c>
      <c r="BO37" s="25">
        <f t="shared" si="27"/>
        <v>0</v>
      </c>
      <c r="BP37" s="20">
        <f t="shared" si="6"/>
        <v>316</v>
      </c>
      <c r="BQ37" s="20">
        <f t="shared" si="6"/>
        <v>0.47447676122762916</v>
      </c>
      <c r="BR37" s="25">
        <f>VLOOKUP(BP37,'Hazard Weighting Functions'!$B$5:$G$1205,4,FALSE)</f>
        <v>0</v>
      </c>
      <c r="BS37" s="25">
        <f t="shared" si="28"/>
        <v>0</v>
      </c>
      <c r="BT37" s="25">
        <f t="shared" si="29"/>
        <v>0</v>
      </c>
      <c r="BV37" s="25">
        <f>VLOOKUP(BK37,'Hazard Weighting Functions'!$B$5:$G$1205,5,FALSE)</f>
        <v>0</v>
      </c>
      <c r="BW37" s="25">
        <f t="shared" si="30"/>
        <v>0</v>
      </c>
      <c r="BX37" s="25">
        <f t="shared" si="31"/>
        <v>0</v>
      </c>
    </row>
    <row r="38" spans="2:76">
      <c r="B38" s="25">
        <v>218</v>
      </c>
      <c r="C38" s="36">
        <v>1.7364692294427768E-2</v>
      </c>
      <c r="E38" s="25">
        <v>218</v>
      </c>
      <c r="F38" s="36"/>
      <c r="H38" s="25">
        <v>218</v>
      </c>
      <c r="I38" s="36"/>
      <c r="K38" s="25">
        <v>1045</v>
      </c>
      <c r="L38" s="36"/>
      <c r="N38" s="25">
        <v>318</v>
      </c>
      <c r="O38" s="36">
        <v>1.5485003756505267E-2</v>
      </c>
      <c r="Q38" s="25">
        <v>318</v>
      </c>
      <c r="R38" s="36">
        <v>0.2826751732212307</v>
      </c>
      <c r="T38" s="25">
        <f>L38/C258</f>
        <v>0</v>
      </c>
      <c r="V38" s="25">
        <f t="shared" si="8"/>
        <v>218</v>
      </c>
      <c r="W38" s="25">
        <f t="shared" si="8"/>
        <v>1.7364692294427768E-2</v>
      </c>
      <c r="Y38" s="25">
        <f t="shared" si="9"/>
        <v>218</v>
      </c>
      <c r="Z38" s="25">
        <f t="shared" si="9"/>
        <v>1.7364692294427768E-2</v>
      </c>
      <c r="AA38" s="25">
        <f>VLOOKUP(Y38,'Hazard Weighting Functions'!$B$5:$G$1205,2,FALSE)</f>
        <v>0.10929999999999999</v>
      </c>
      <c r="AB38" s="25">
        <f t="shared" si="10"/>
        <v>1.8979608677809549E-3</v>
      </c>
      <c r="AC38" s="25">
        <f t="shared" si="11"/>
        <v>7.268008673198767E-3</v>
      </c>
      <c r="AE38" s="25">
        <f>VLOOKUP(Y38,'Hazard Weighting Functions'!$B$5:$G$1205,3,FALSE)</f>
        <v>0</v>
      </c>
      <c r="AF38" s="25">
        <f t="shared" si="12"/>
        <v>0</v>
      </c>
      <c r="AG38" s="25">
        <f t="shared" si="13"/>
        <v>0</v>
      </c>
      <c r="AH38" s="25">
        <f>VLOOKUP(Y38,'Hazard Weighting Functions'!$B$5:$G$1205,5,FALSE)</f>
        <v>0</v>
      </c>
      <c r="AI38" s="25">
        <f t="shared" si="14"/>
        <v>0</v>
      </c>
      <c r="AJ38" s="25">
        <f t="shared" si="15"/>
        <v>0</v>
      </c>
      <c r="AP38" s="20">
        <f>'IEC_EN62471- LED non-GLS'!E88</f>
        <v>318</v>
      </c>
      <c r="AQ38" s="20">
        <f t="shared" si="16"/>
        <v>0</v>
      </c>
      <c r="AR38" s="25">
        <f>VLOOKUP(AP38,'Hazard Weighting Functions'!$B$5:$G$1205,3,FALSE)</f>
        <v>0.01</v>
      </c>
      <c r="AS38" s="25">
        <f t="shared" si="17"/>
        <v>0</v>
      </c>
      <c r="AT38" s="25">
        <f t="shared" si="18"/>
        <v>8.3917326148968126E-6</v>
      </c>
      <c r="AU38" s="20">
        <f t="shared" si="7"/>
        <v>318</v>
      </c>
      <c r="AV38" s="25">
        <f>O38</f>
        <v>1.5485003756505267E-2</v>
      </c>
      <c r="AW38" s="25">
        <f>VLOOKUP(AU38,'Hazard Weighting Functions'!$B$5:$G$1205,3,FALSE)</f>
        <v>0.01</v>
      </c>
      <c r="AX38" s="25">
        <f t="shared" si="19"/>
        <v>1.5485003756505268E-4</v>
      </c>
      <c r="AY38" s="25">
        <f t="shared" si="20"/>
        <v>2.986645201955453E-4</v>
      </c>
      <c r="AZ38" s="20">
        <f t="shared" si="2"/>
        <v>318</v>
      </c>
      <c r="BA38" s="20">
        <f t="shared" si="2"/>
        <v>0.2826751732212307</v>
      </c>
      <c r="BB38" s="25">
        <f>VLOOKUP(AZ38,'Hazard Weighting Functions'!$B$5:$G$1205,3,FALSE)</f>
        <v>0.01</v>
      </c>
      <c r="BC38" s="25">
        <f t="shared" si="21"/>
        <v>2.826751732212307E-3</v>
      </c>
      <c r="BD38" s="25">
        <f t="shared" si="22"/>
        <v>2.826751732212307E-3</v>
      </c>
      <c r="BF38" s="20">
        <f t="shared" si="23"/>
        <v>398</v>
      </c>
      <c r="BG38" s="20">
        <f t="shared" si="23"/>
        <v>0</v>
      </c>
      <c r="BH38" s="25">
        <f>VLOOKUP(BF38,'Hazard Weighting Functions'!$B$5:$G$1205,4,FALSE)</f>
        <v>0.75785828300000002</v>
      </c>
      <c r="BI38" s="25">
        <f t="shared" si="24"/>
        <v>0</v>
      </c>
      <c r="BJ38" s="25">
        <f t="shared" si="25"/>
        <v>0</v>
      </c>
      <c r="BK38" s="1">
        <f t="shared" si="5"/>
        <v>318</v>
      </c>
      <c r="BL38" s="20">
        <f t="shared" si="5"/>
        <v>1.5485003756505267E-2</v>
      </c>
      <c r="BM38" s="25">
        <f>VLOOKUP(BK38,'Hazard Weighting Functions'!$B$5:$G$1205,4,FALSE)</f>
        <v>0</v>
      </c>
      <c r="BN38" s="25">
        <f t="shared" si="26"/>
        <v>0</v>
      </c>
      <c r="BO38" s="25">
        <f t="shared" si="27"/>
        <v>0</v>
      </c>
      <c r="BP38" s="20">
        <f t="shared" si="6"/>
        <v>318</v>
      </c>
      <c r="BQ38" s="20">
        <f t="shared" si="6"/>
        <v>0.2826751732212307</v>
      </c>
      <c r="BR38" s="25">
        <f>VLOOKUP(BP38,'Hazard Weighting Functions'!$B$5:$G$1205,4,FALSE)</f>
        <v>0</v>
      </c>
      <c r="BS38" s="25">
        <f t="shared" si="28"/>
        <v>0</v>
      </c>
      <c r="BT38" s="25">
        <f t="shared" si="29"/>
        <v>0</v>
      </c>
      <c r="BV38" s="25">
        <f>VLOOKUP(BK38,'Hazard Weighting Functions'!$B$5:$G$1205,5,FALSE)</f>
        <v>0</v>
      </c>
      <c r="BW38" s="25">
        <f t="shared" si="30"/>
        <v>0</v>
      </c>
      <c r="BX38" s="25">
        <f t="shared" si="31"/>
        <v>0</v>
      </c>
    </row>
    <row r="39" spans="2:76">
      <c r="B39" s="25">
        <v>220</v>
      </c>
      <c r="C39" s="36">
        <v>4.4750398378481764E-2</v>
      </c>
      <c r="E39" s="25">
        <v>220</v>
      </c>
      <c r="F39" s="36"/>
      <c r="H39" s="25">
        <v>220</v>
      </c>
      <c r="I39" s="36"/>
      <c r="K39" s="25">
        <v>1050</v>
      </c>
      <c r="L39" s="36"/>
      <c r="N39" s="25">
        <v>320</v>
      </c>
      <c r="O39" s="36">
        <v>1.4381448263049263E-2</v>
      </c>
      <c r="Q39" s="25">
        <v>320</v>
      </c>
      <c r="R39" s="36">
        <v>0</v>
      </c>
      <c r="T39" s="25">
        <f>L39/C259</f>
        <v>0</v>
      </c>
      <c r="V39" s="25">
        <f t="shared" si="8"/>
        <v>220</v>
      </c>
      <c r="W39" s="25">
        <f t="shared" si="8"/>
        <v>4.4750398378481764E-2</v>
      </c>
      <c r="Y39" s="25">
        <f t="shared" si="9"/>
        <v>220</v>
      </c>
      <c r="Z39" s="25">
        <f t="shared" si="9"/>
        <v>4.4750398378481764E-2</v>
      </c>
      <c r="AA39" s="25">
        <f>VLOOKUP(Y39,'Hazard Weighting Functions'!$B$5:$G$1205,2,FALSE)</f>
        <v>0.12</v>
      </c>
      <c r="AB39" s="25">
        <f t="shared" si="10"/>
        <v>5.3700478054178116E-3</v>
      </c>
      <c r="AC39" s="25">
        <f t="shared" si="11"/>
        <v>8.4449390314782838E-3</v>
      </c>
      <c r="AE39" s="25">
        <f>VLOOKUP(Y39,'Hazard Weighting Functions'!$B$5:$G$1205,3,FALSE)</f>
        <v>0</v>
      </c>
      <c r="AF39" s="25">
        <f t="shared" si="12"/>
        <v>0</v>
      </c>
      <c r="AG39" s="25">
        <f t="shared" si="13"/>
        <v>0</v>
      </c>
      <c r="AH39" s="25">
        <f>VLOOKUP(Y39,'Hazard Weighting Functions'!$B$5:$G$1205,5,FALSE)</f>
        <v>0</v>
      </c>
      <c r="AI39" s="25">
        <f t="shared" si="14"/>
        <v>0</v>
      </c>
      <c r="AJ39" s="25">
        <f t="shared" si="15"/>
        <v>0</v>
      </c>
      <c r="AP39" s="20">
        <f>'IEC_EN62471- LED non-GLS'!E89</f>
        <v>320</v>
      </c>
      <c r="AQ39" s="20">
        <f t="shared" si="16"/>
        <v>8.3917326148968117E-4</v>
      </c>
      <c r="AR39" s="25">
        <f>VLOOKUP(AP39,'Hazard Weighting Functions'!$B$5:$G$1205,3,FALSE)</f>
        <v>0.01</v>
      </c>
      <c r="AS39" s="25">
        <f t="shared" si="17"/>
        <v>8.3917326148968126E-6</v>
      </c>
      <c r="AT39" s="25">
        <f t="shared" si="18"/>
        <v>3.8165318328207013E-5</v>
      </c>
      <c r="AU39" s="20">
        <f t="shared" si="7"/>
        <v>320</v>
      </c>
      <c r="AV39" s="25">
        <f>O39</f>
        <v>1.4381448263049263E-2</v>
      </c>
      <c r="AW39" s="25">
        <f>VLOOKUP(AU39,'Hazard Weighting Functions'!$B$5:$G$1205,3,FALSE)</f>
        <v>0.01</v>
      </c>
      <c r="AX39" s="25">
        <f t="shared" si="19"/>
        <v>1.4381448263049262E-4</v>
      </c>
      <c r="AY39" s="25">
        <f t="shared" si="20"/>
        <v>7.1066999128237751E-4</v>
      </c>
      <c r="AZ39" s="20">
        <f t="shared" si="2"/>
        <v>320</v>
      </c>
      <c r="BA39" s="20">
        <f t="shared" si="2"/>
        <v>0</v>
      </c>
      <c r="BB39" s="25">
        <f>VLOOKUP(AZ39,'Hazard Weighting Functions'!$B$5:$G$1205,3,FALSE)</f>
        <v>0.01</v>
      </c>
      <c r="BC39" s="25">
        <f t="shared" si="21"/>
        <v>0</v>
      </c>
      <c r="BD39" s="25">
        <f t="shared" si="22"/>
        <v>0</v>
      </c>
      <c r="BF39" s="20">
        <f t="shared" si="23"/>
        <v>400</v>
      </c>
      <c r="BG39" s="20">
        <f t="shared" si="23"/>
        <v>0</v>
      </c>
      <c r="BH39" s="25">
        <f>VLOOKUP(BF39,'Hazard Weighting Functions'!$B$5:$G$1205,4,FALSE)</f>
        <v>1</v>
      </c>
      <c r="BI39" s="25">
        <f t="shared" si="24"/>
        <v>0</v>
      </c>
      <c r="BJ39" s="25">
        <f t="shared" si="25"/>
        <v>0</v>
      </c>
      <c r="BK39" s="1">
        <f t="shared" si="5"/>
        <v>320</v>
      </c>
      <c r="BL39" s="20">
        <f t="shared" si="5"/>
        <v>1.4381448263049263E-2</v>
      </c>
      <c r="BM39" s="25">
        <f>VLOOKUP(BK39,'Hazard Weighting Functions'!$B$5:$G$1205,4,FALSE)</f>
        <v>0</v>
      </c>
      <c r="BN39" s="25">
        <f t="shared" si="26"/>
        <v>0</v>
      </c>
      <c r="BO39" s="25">
        <f t="shared" si="27"/>
        <v>0</v>
      </c>
      <c r="BP39" s="20">
        <f t="shared" si="6"/>
        <v>320</v>
      </c>
      <c r="BQ39" s="20">
        <f t="shared" si="6"/>
        <v>0</v>
      </c>
      <c r="BR39" s="25">
        <f>VLOOKUP(BP39,'Hazard Weighting Functions'!$B$5:$G$1205,4,FALSE)</f>
        <v>0</v>
      </c>
      <c r="BS39" s="25">
        <f t="shared" si="28"/>
        <v>0</v>
      </c>
      <c r="BT39" s="25">
        <f t="shared" si="29"/>
        <v>0</v>
      </c>
      <c r="BV39" s="25">
        <f>VLOOKUP(BK39,'Hazard Weighting Functions'!$B$5:$G$1205,5,FALSE)</f>
        <v>0</v>
      </c>
      <c r="BW39" s="25">
        <f t="shared" si="30"/>
        <v>0</v>
      </c>
      <c r="BX39" s="25">
        <f t="shared" si="31"/>
        <v>0</v>
      </c>
    </row>
    <row r="40" spans="2:76">
      <c r="B40" s="25">
        <v>222</v>
      </c>
      <c r="C40" s="36">
        <v>2.3365434848483829E-2</v>
      </c>
      <c r="E40" s="25">
        <v>222</v>
      </c>
      <c r="F40" s="36"/>
      <c r="H40" s="25">
        <v>222</v>
      </c>
      <c r="I40" s="36"/>
      <c r="K40" s="25">
        <v>1055</v>
      </c>
      <c r="L40" s="36"/>
      <c r="N40" s="25">
        <v>322</v>
      </c>
      <c r="O40" s="36">
        <v>5.6685550865188485E-2</v>
      </c>
      <c r="Q40" s="25">
        <v>322</v>
      </c>
      <c r="R40" s="36">
        <v>0</v>
      </c>
      <c r="T40" s="25">
        <f>L40/C260</f>
        <v>0</v>
      </c>
      <c r="V40" s="25">
        <f t="shared" si="8"/>
        <v>222</v>
      </c>
      <c r="W40" s="25">
        <f t="shared" si="8"/>
        <v>2.3365434848483829E-2</v>
      </c>
      <c r="Y40" s="25">
        <f t="shared" si="9"/>
        <v>222</v>
      </c>
      <c r="Z40" s="25">
        <f t="shared" si="9"/>
        <v>2.3365434848483829E-2</v>
      </c>
      <c r="AA40" s="25">
        <f>VLOOKUP(Y40,'Hazard Weighting Functions'!$B$5:$G$1205,2,FALSE)</f>
        <v>0.13159999999999999</v>
      </c>
      <c r="AB40" s="25">
        <f t="shared" si="10"/>
        <v>3.0748912260604717E-3</v>
      </c>
      <c r="AC40" s="25">
        <f t="shared" si="11"/>
        <v>4.7082745434952446E-3</v>
      </c>
      <c r="AE40" s="25">
        <f>VLOOKUP(Y40,'Hazard Weighting Functions'!$B$5:$G$1205,3,FALSE)</f>
        <v>0</v>
      </c>
      <c r="AF40" s="25">
        <f t="shared" si="12"/>
        <v>0</v>
      </c>
      <c r="AG40" s="25">
        <f t="shared" si="13"/>
        <v>0</v>
      </c>
      <c r="AH40" s="25">
        <f>VLOOKUP(Y40,'Hazard Weighting Functions'!$B$5:$G$1205,5,FALSE)</f>
        <v>0</v>
      </c>
      <c r="AI40" s="25">
        <f t="shared" si="14"/>
        <v>0</v>
      </c>
      <c r="AJ40" s="25">
        <f t="shared" si="15"/>
        <v>0</v>
      </c>
      <c r="AP40" s="20">
        <f>'IEC_EN62471- LED non-GLS'!E90</f>
        <v>322</v>
      </c>
      <c r="AQ40" s="20">
        <f t="shared" si="16"/>
        <v>2.9773585713310196E-3</v>
      </c>
      <c r="AR40" s="25">
        <f>VLOOKUP(AP40,'Hazard Weighting Functions'!$B$5:$G$1205,3,FALSE)</f>
        <v>0.01</v>
      </c>
      <c r="AS40" s="25">
        <f t="shared" si="17"/>
        <v>2.9773585713310197E-5</v>
      </c>
      <c r="AT40" s="25">
        <f t="shared" si="18"/>
        <v>5.7220435857089676E-5</v>
      </c>
      <c r="AU40" s="20">
        <f t="shared" si="7"/>
        <v>322</v>
      </c>
      <c r="AV40" s="25">
        <f>O40</f>
        <v>5.6685550865188485E-2</v>
      </c>
      <c r="AW40" s="25">
        <f>VLOOKUP(AU40,'Hazard Weighting Functions'!$B$5:$G$1205,3,FALSE)</f>
        <v>0.01</v>
      </c>
      <c r="AX40" s="25">
        <f t="shared" si="19"/>
        <v>5.6685550865188483E-4</v>
      </c>
      <c r="AY40" s="25">
        <f t="shared" si="20"/>
        <v>1.1955458089961718E-3</v>
      </c>
      <c r="AZ40" s="20">
        <f t="shared" si="2"/>
        <v>322</v>
      </c>
      <c r="BA40" s="20">
        <f t="shared" si="2"/>
        <v>0</v>
      </c>
      <c r="BB40" s="25">
        <f>VLOOKUP(AZ40,'Hazard Weighting Functions'!$B$5:$G$1205,3,FALSE)</f>
        <v>0.01</v>
      </c>
      <c r="BC40" s="25">
        <f t="shared" si="21"/>
        <v>0</v>
      </c>
      <c r="BD40" s="25">
        <f t="shared" si="22"/>
        <v>4.1987194137550546E-3</v>
      </c>
      <c r="BF40" s="20">
        <f t="shared" si="23"/>
        <v>405</v>
      </c>
      <c r="BG40" s="20">
        <f t="shared" si="23"/>
        <v>0</v>
      </c>
      <c r="BH40" s="25">
        <f>VLOOKUP(BF40,'Hazard Weighting Functions'!$B$5:$G$1205,4,FALSE)</f>
        <v>2</v>
      </c>
      <c r="BI40" s="25">
        <f t="shared" si="24"/>
        <v>0</v>
      </c>
      <c r="BJ40" s="25">
        <f t="shared" si="25"/>
        <v>0</v>
      </c>
      <c r="BK40" s="1">
        <f t="shared" si="5"/>
        <v>322</v>
      </c>
      <c r="BL40" s="20">
        <f t="shared" si="5"/>
        <v>5.6685550865188485E-2</v>
      </c>
      <c r="BM40" s="25">
        <f>VLOOKUP(BK40,'Hazard Weighting Functions'!$B$5:$G$1205,4,FALSE)</f>
        <v>0</v>
      </c>
      <c r="BN40" s="25">
        <f t="shared" si="26"/>
        <v>0</v>
      </c>
      <c r="BO40" s="25">
        <f t="shared" si="27"/>
        <v>0</v>
      </c>
      <c r="BP40" s="20">
        <f t="shared" si="6"/>
        <v>322</v>
      </c>
      <c r="BQ40" s="20">
        <f t="shared" si="6"/>
        <v>0</v>
      </c>
      <c r="BR40" s="25">
        <f>VLOOKUP(BP40,'Hazard Weighting Functions'!$B$5:$G$1205,4,FALSE)</f>
        <v>0</v>
      </c>
      <c r="BS40" s="25">
        <f t="shared" si="28"/>
        <v>0</v>
      </c>
      <c r="BT40" s="25">
        <f t="shared" si="29"/>
        <v>0</v>
      </c>
      <c r="BV40" s="25">
        <f>VLOOKUP(BK40,'Hazard Weighting Functions'!$B$5:$G$1205,5,FALSE)</f>
        <v>0</v>
      </c>
      <c r="BW40" s="25">
        <f t="shared" si="30"/>
        <v>0</v>
      </c>
      <c r="BX40" s="25">
        <f t="shared" si="31"/>
        <v>0</v>
      </c>
    </row>
    <row r="41" spans="2:76">
      <c r="B41" s="25">
        <v>224</v>
      </c>
      <c r="C41" s="36">
        <v>1.1311518818800366E-2</v>
      </c>
      <c r="E41" s="25">
        <v>224</v>
      </c>
      <c r="F41" s="36"/>
      <c r="H41" s="25">
        <v>224</v>
      </c>
      <c r="I41" s="36"/>
      <c r="K41" s="25">
        <v>1060</v>
      </c>
      <c r="L41" s="36"/>
      <c r="N41" s="25">
        <v>324</v>
      </c>
      <c r="O41" s="36">
        <v>6.2869030034428702E-2</v>
      </c>
      <c r="Q41" s="25">
        <v>324</v>
      </c>
      <c r="R41" s="36">
        <v>0.41987194137550549</v>
      </c>
      <c r="T41" s="25">
        <f>L41/C261</f>
        <v>0</v>
      </c>
      <c r="V41" s="25">
        <f t="shared" si="8"/>
        <v>224</v>
      </c>
      <c r="W41" s="25">
        <f t="shared" si="8"/>
        <v>1.1311518818800366E-2</v>
      </c>
      <c r="Y41" s="25">
        <f t="shared" si="9"/>
        <v>224</v>
      </c>
      <c r="Z41" s="25">
        <f t="shared" si="9"/>
        <v>1.1311518818800366E-2</v>
      </c>
      <c r="AA41" s="25">
        <f>VLOOKUP(Y41,'Hazard Weighting Functions'!$B$5:$G$1205,2,FALSE)</f>
        <v>0.1444</v>
      </c>
      <c r="AB41" s="25">
        <f t="shared" si="10"/>
        <v>1.6333833174347729E-3</v>
      </c>
      <c r="AC41" s="25">
        <f t="shared" si="11"/>
        <v>2.1308746891127374E-3</v>
      </c>
      <c r="AE41" s="25">
        <f>VLOOKUP(Y41,'Hazard Weighting Functions'!$B$5:$G$1205,3,FALSE)</f>
        <v>0</v>
      </c>
      <c r="AF41" s="25">
        <f t="shared" si="12"/>
        <v>0</v>
      </c>
      <c r="AG41" s="25">
        <f t="shared" si="13"/>
        <v>0</v>
      </c>
      <c r="AH41" s="25">
        <f>VLOOKUP(Y41,'Hazard Weighting Functions'!$B$5:$G$1205,5,FALSE)</f>
        <v>0</v>
      </c>
      <c r="AI41" s="25">
        <f t="shared" si="14"/>
        <v>0</v>
      </c>
      <c r="AJ41" s="25">
        <f t="shared" si="15"/>
        <v>0</v>
      </c>
      <c r="AP41" s="20">
        <f>'IEC_EN62471- LED non-GLS'!E91</f>
        <v>324</v>
      </c>
      <c r="AQ41" s="20">
        <f t="shared" si="16"/>
        <v>2.7446850143779482E-3</v>
      </c>
      <c r="AR41" s="25">
        <f>VLOOKUP(AP41,'Hazard Weighting Functions'!$B$5:$G$1205,3,FALSE)</f>
        <v>0.01</v>
      </c>
      <c r="AS41" s="25">
        <f t="shared" si="17"/>
        <v>2.7446850143779482E-5</v>
      </c>
      <c r="AT41" s="25">
        <f t="shared" si="18"/>
        <v>5.6668759237178383E-5</v>
      </c>
      <c r="AU41" s="20">
        <f t="shared" si="7"/>
        <v>324</v>
      </c>
      <c r="AV41" s="25">
        <f>O41</f>
        <v>6.2869030034428702E-2</v>
      </c>
      <c r="AW41" s="25">
        <f>VLOOKUP(AU41,'Hazard Weighting Functions'!$B$5:$G$1205,3,FALSE)</f>
        <v>0.01</v>
      </c>
      <c r="AX41" s="25">
        <f t="shared" si="19"/>
        <v>6.2869030034428698E-4</v>
      </c>
      <c r="AY41" s="25">
        <f t="shared" si="20"/>
        <v>1.3494292213962378E-3</v>
      </c>
      <c r="AZ41" s="20">
        <f t="shared" si="2"/>
        <v>324</v>
      </c>
      <c r="BA41" s="20">
        <f t="shared" si="2"/>
        <v>0.41987194137550549</v>
      </c>
      <c r="BB41" s="25">
        <f>VLOOKUP(AZ41,'Hazard Weighting Functions'!$B$5:$G$1205,3,FALSE)</f>
        <v>0.01</v>
      </c>
      <c r="BC41" s="25">
        <f t="shared" si="21"/>
        <v>4.1987194137550546E-3</v>
      </c>
      <c r="BD41" s="25">
        <f t="shared" si="22"/>
        <v>4.1987194137550546E-3</v>
      </c>
      <c r="BF41" s="20">
        <f t="shared" si="23"/>
        <v>410</v>
      </c>
      <c r="BG41" s="20">
        <f t="shared" si="23"/>
        <v>0</v>
      </c>
      <c r="BH41" s="25">
        <f>VLOOKUP(BF41,'Hazard Weighting Functions'!$B$5:$G$1205,4,FALSE)</f>
        <v>4</v>
      </c>
      <c r="BI41" s="25">
        <f t="shared" si="24"/>
        <v>0</v>
      </c>
      <c r="BJ41" s="25">
        <f t="shared" si="25"/>
        <v>0</v>
      </c>
      <c r="BK41" s="1">
        <f t="shared" si="5"/>
        <v>324</v>
      </c>
      <c r="BL41" s="20">
        <f t="shared" si="5"/>
        <v>6.2869030034428702E-2</v>
      </c>
      <c r="BM41" s="25">
        <f>VLOOKUP(BK41,'Hazard Weighting Functions'!$B$5:$G$1205,4,FALSE)</f>
        <v>0</v>
      </c>
      <c r="BN41" s="25">
        <f t="shared" si="26"/>
        <v>0</v>
      </c>
      <c r="BO41" s="25">
        <f t="shared" si="27"/>
        <v>0</v>
      </c>
      <c r="BP41" s="20">
        <f t="shared" si="6"/>
        <v>324</v>
      </c>
      <c r="BQ41" s="20">
        <f t="shared" si="6"/>
        <v>0.41987194137550549</v>
      </c>
      <c r="BR41" s="25">
        <f>VLOOKUP(BP41,'Hazard Weighting Functions'!$B$5:$G$1205,4,FALSE)</f>
        <v>0</v>
      </c>
      <c r="BS41" s="25">
        <f t="shared" si="28"/>
        <v>0</v>
      </c>
      <c r="BT41" s="25">
        <f t="shared" si="29"/>
        <v>0</v>
      </c>
      <c r="BV41" s="25">
        <f>VLOOKUP(BK41,'Hazard Weighting Functions'!$B$5:$G$1205,5,FALSE)</f>
        <v>0</v>
      </c>
      <c r="BW41" s="25">
        <f t="shared" si="30"/>
        <v>0</v>
      </c>
      <c r="BX41" s="25">
        <f t="shared" si="31"/>
        <v>0</v>
      </c>
    </row>
    <row r="42" spans="2:76">
      <c r="B42" s="25">
        <v>226</v>
      </c>
      <c r="C42" s="36">
        <v>3.1427123921539141E-3</v>
      </c>
      <c r="E42" s="25">
        <v>226</v>
      </c>
      <c r="F42" s="36"/>
      <c r="H42" s="25">
        <v>226</v>
      </c>
      <c r="I42" s="36"/>
      <c r="K42" s="25">
        <v>1065</v>
      </c>
      <c r="L42" s="36"/>
      <c r="N42" s="25">
        <v>326</v>
      </c>
      <c r="O42" s="36">
        <v>7.2073892105195075E-2</v>
      </c>
      <c r="Q42" s="25">
        <v>326</v>
      </c>
      <c r="R42" s="36">
        <v>0</v>
      </c>
      <c r="T42" s="25">
        <f>L42/C262</f>
        <v>0</v>
      </c>
      <c r="V42" s="25">
        <f t="shared" si="8"/>
        <v>226</v>
      </c>
      <c r="W42" s="25">
        <f t="shared" si="8"/>
        <v>3.1427123921539141E-3</v>
      </c>
      <c r="Y42" s="25">
        <f t="shared" si="9"/>
        <v>226</v>
      </c>
      <c r="Z42" s="25">
        <f t="shared" si="9"/>
        <v>3.1427123921539141E-3</v>
      </c>
      <c r="AA42" s="25">
        <f>VLOOKUP(Y42,'Hazard Weighting Functions'!$B$5:$G$1205,2,FALSE)</f>
        <v>0.1583</v>
      </c>
      <c r="AB42" s="25">
        <f t="shared" si="10"/>
        <v>4.9749137167796463E-4</v>
      </c>
      <c r="AC42" s="25">
        <f t="shared" si="11"/>
        <v>8.0393178254638351E-4</v>
      </c>
      <c r="AE42" s="25">
        <f>VLOOKUP(Y42,'Hazard Weighting Functions'!$B$5:$G$1205,3,FALSE)</f>
        <v>0</v>
      </c>
      <c r="AF42" s="25">
        <f t="shared" si="12"/>
        <v>0</v>
      </c>
      <c r="AG42" s="25">
        <f t="shared" si="13"/>
        <v>0</v>
      </c>
      <c r="AH42" s="25">
        <f>VLOOKUP(Y42,'Hazard Weighting Functions'!$B$5:$G$1205,5,FALSE)</f>
        <v>0</v>
      </c>
      <c r="AI42" s="25">
        <f t="shared" si="14"/>
        <v>0</v>
      </c>
      <c r="AJ42" s="25">
        <f t="shared" si="15"/>
        <v>0</v>
      </c>
      <c r="AP42" s="20">
        <f>'IEC_EN62471- LED non-GLS'!E92</f>
        <v>326</v>
      </c>
      <c r="AQ42" s="20">
        <f t="shared" si="16"/>
        <v>2.9221909093398901E-3</v>
      </c>
      <c r="AR42" s="25">
        <f>VLOOKUP(AP42,'Hazard Weighting Functions'!$B$5:$G$1205,3,FALSE)</f>
        <v>0.01</v>
      </c>
      <c r="AS42" s="25">
        <f t="shared" si="17"/>
        <v>2.9221909093398901E-5</v>
      </c>
      <c r="AT42" s="25">
        <f t="shared" si="18"/>
        <v>3.9428881882894898E-5</v>
      </c>
      <c r="AU42" s="20">
        <f t="shared" si="7"/>
        <v>326</v>
      </c>
      <c r="AV42" s="25">
        <f>O42</f>
        <v>7.2073892105195075E-2</v>
      </c>
      <c r="AW42" s="25">
        <f>VLOOKUP(AU42,'Hazard Weighting Functions'!$B$5:$G$1205,3,FALSE)</f>
        <v>0.01</v>
      </c>
      <c r="AX42" s="25">
        <f t="shared" si="19"/>
        <v>7.2073892105195081E-4</v>
      </c>
      <c r="AY42" s="25">
        <f t="shared" si="20"/>
        <v>1.4515722080002237E-3</v>
      </c>
      <c r="AZ42" s="20">
        <f t="shared" si="2"/>
        <v>326</v>
      </c>
      <c r="BA42" s="20">
        <f t="shared" si="2"/>
        <v>0</v>
      </c>
      <c r="BB42" s="25">
        <f>VLOOKUP(AZ42,'Hazard Weighting Functions'!$B$5:$G$1205,3,FALSE)</f>
        <v>0.01</v>
      </c>
      <c r="BC42" s="25">
        <f t="shared" si="21"/>
        <v>0</v>
      </c>
      <c r="BD42" s="25">
        <f t="shared" si="22"/>
        <v>3.434423643344836E-3</v>
      </c>
      <c r="BF42" s="20">
        <f t="shared" si="23"/>
        <v>415</v>
      </c>
      <c r="BG42" s="20">
        <f t="shared" si="23"/>
        <v>0</v>
      </c>
      <c r="BH42" s="25">
        <f>VLOOKUP(BF42,'Hazard Weighting Functions'!$B$5:$G$1205,4,FALSE)</f>
        <v>8</v>
      </c>
      <c r="BI42" s="25">
        <f t="shared" si="24"/>
        <v>0</v>
      </c>
      <c r="BJ42" s="25">
        <f t="shared" si="25"/>
        <v>0</v>
      </c>
      <c r="BK42" s="1">
        <f t="shared" si="5"/>
        <v>326</v>
      </c>
      <c r="BL42" s="20">
        <f t="shared" si="5"/>
        <v>7.2073892105195075E-2</v>
      </c>
      <c r="BM42" s="25">
        <f>VLOOKUP(BK42,'Hazard Weighting Functions'!$B$5:$G$1205,4,FALSE)</f>
        <v>0</v>
      </c>
      <c r="BN42" s="25">
        <f t="shared" si="26"/>
        <v>0</v>
      </c>
      <c r="BO42" s="25">
        <f t="shared" si="27"/>
        <v>0</v>
      </c>
      <c r="BP42" s="20">
        <f t="shared" si="6"/>
        <v>326</v>
      </c>
      <c r="BQ42" s="20">
        <f t="shared" si="6"/>
        <v>0</v>
      </c>
      <c r="BR42" s="25">
        <f>VLOOKUP(BP42,'Hazard Weighting Functions'!$B$5:$G$1205,4,FALSE)</f>
        <v>0</v>
      </c>
      <c r="BS42" s="25">
        <f t="shared" si="28"/>
        <v>0</v>
      </c>
      <c r="BT42" s="25">
        <f t="shared" si="29"/>
        <v>0</v>
      </c>
      <c r="BV42" s="25">
        <f>VLOOKUP(BK42,'Hazard Weighting Functions'!$B$5:$G$1205,5,FALSE)</f>
        <v>0</v>
      </c>
      <c r="BW42" s="25">
        <f t="shared" si="30"/>
        <v>0</v>
      </c>
      <c r="BX42" s="25">
        <f t="shared" si="31"/>
        <v>0</v>
      </c>
    </row>
    <row r="43" spans="2:76">
      <c r="B43" s="25">
        <v>228</v>
      </c>
      <c r="C43" s="36">
        <v>1.764193499530333E-3</v>
      </c>
      <c r="E43" s="25">
        <v>228</v>
      </c>
      <c r="F43" s="36"/>
      <c r="H43" s="25">
        <v>228</v>
      </c>
      <c r="I43" s="36"/>
      <c r="K43" s="25">
        <v>1070</v>
      </c>
      <c r="L43" s="36"/>
      <c r="N43" s="25">
        <v>328</v>
      </c>
      <c r="O43" s="36">
        <v>7.3083328694827282E-2</v>
      </c>
      <c r="Q43" s="25">
        <v>328</v>
      </c>
      <c r="R43" s="36">
        <v>0.34344236433448361</v>
      </c>
      <c r="T43" s="25">
        <f>L43/C263</f>
        <v>0</v>
      </c>
      <c r="V43" s="25">
        <f t="shared" si="8"/>
        <v>228</v>
      </c>
      <c r="W43" s="25">
        <f t="shared" si="8"/>
        <v>1.764193499530333E-3</v>
      </c>
      <c r="Y43" s="25">
        <f t="shared" si="9"/>
        <v>228</v>
      </c>
      <c r="Z43" s="25">
        <f t="shared" si="9"/>
        <v>1.764193499530333E-3</v>
      </c>
      <c r="AA43" s="25">
        <f>VLOOKUP(Y43,'Hazard Weighting Functions'!$B$5:$G$1205,2,FALSE)</f>
        <v>0.17369999999999999</v>
      </c>
      <c r="AB43" s="25">
        <f t="shared" si="10"/>
        <v>3.0644041086841882E-4</v>
      </c>
      <c r="AC43" s="25">
        <f t="shared" si="11"/>
        <v>1.2437388772244429E-3</v>
      </c>
      <c r="AE43" s="25">
        <f>VLOOKUP(Y43,'Hazard Weighting Functions'!$B$5:$G$1205,3,FALSE)</f>
        <v>0</v>
      </c>
      <c r="AF43" s="25">
        <f t="shared" si="12"/>
        <v>0</v>
      </c>
      <c r="AG43" s="25">
        <f t="shared" si="13"/>
        <v>0</v>
      </c>
      <c r="AH43" s="25">
        <f>VLOOKUP(Y43,'Hazard Weighting Functions'!$B$5:$G$1205,5,FALSE)</f>
        <v>0</v>
      </c>
      <c r="AI43" s="25">
        <f t="shared" si="14"/>
        <v>0</v>
      </c>
      <c r="AJ43" s="25">
        <f t="shared" si="15"/>
        <v>0</v>
      </c>
      <c r="AP43" s="20">
        <f>'IEC_EN62471- LED non-GLS'!E93</f>
        <v>328</v>
      </c>
      <c r="AQ43" s="20">
        <f t="shared" si="16"/>
        <v>1.0206972789495998E-3</v>
      </c>
      <c r="AR43" s="25">
        <f>VLOOKUP(AP43,'Hazard Weighting Functions'!$B$5:$G$1205,3,FALSE)</f>
        <v>0.01</v>
      </c>
      <c r="AS43" s="25">
        <f t="shared" si="17"/>
        <v>1.0206972789495999E-5</v>
      </c>
      <c r="AT43" s="25">
        <f t="shared" si="18"/>
        <v>5.030227659597855E-5</v>
      </c>
      <c r="AU43" s="20">
        <f t="shared" si="7"/>
        <v>328</v>
      </c>
      <c r="AV43" s="25">
        <f>O43</f>
        <v>7.3083328694827282E-2</v>
      </c>
      <c r="AW43" s="25">
        <f>VLOOKUP(AU43,'Hazard Weighting Functions'!$B$5:$G$1205,3,FALSE)</f>
        <v>0.01</v>
      </c>
      <c r="AX43" s="25">
        <f t="shared" si="19"/>
        <v>7.3083328694827283E-4</v>
      </c>
      <c r="AY43" s="25">
        <f t="shared" si="20"/>
        <v>1.5866469211839338E-3</v>
      </c>
      <c r="AZ43" s="20">
        <f t="shared" si="2"/>
        <v>328</v>
      </c>
      <c r="BA43" s="20">
        <f t="shared" si="2"/>
        <v>0.34344236433448361</v>
      </c>
      <c r="BB43" s="25">
        <f>VLOOKUP(AZ43,'Hazard Weighting Functions'!$B$5:$G$1205,3,FALSE)</f>
        <v>0.01</v>
      </c>
      <c r="BC43" s="25">
        <f t="shared" si="21"/>
        <v>3.434423643344836E-3</v>
      </c>
      <c r="BD43" s="25">
        <f t="shared" si="22"/>
        <v>3.4804649335019137E-3</v>
      </c>
      <c r="BF43" s="20">
        <f t="shared" si="23"/>
        <v>420</v>
      </c>
      <c r="BG43" s="20">
        <f t="shared" si="23"/>
        <v>0</v>
      </c>
      <c r="BH43" s="25">
        <f>VLOOKUP(BF43,'Hazard Weighting Functions'!$B$5:$G$1205,4,FALSE)</f>
        <v>9</v>
      </c>
      <c r="BI43" s="25">
        <f t="shared" si="24"/>
        <v>0</v>
      </c>
      <c r="BJ43" s="25">
        <f t="shared" si="25"/>
        <v>0</v>
      </c>
      <c r="BK43" s="1">
        <f t="shared" si="5"/>
        <v>328</v>
      </c>
      <c r="BL43" s="20">
        <f t="shared" si="5"/>
        <v>7.3083328694827282E-2</v>
      </c>
      <c r="BM43" s="25">
        <f>VLOOKUP(BK43,'Hazard Weighting Functions'!$B$5:$G$1205,4,FALSE)</f>
        <v>0</v>
      </c>
      <c r="BN43" s="25">
        <f t="shared" si="26"/>
        <v>0</v>
      </c>
      <c r="BO43" s="25">
        <f t="shared" si="27"/>
        <v>0</v>
      </c>
      <c r="BP43" s="20">
        <f t="shared" si="6"/>
        <v>328</v>
      </c>
      <c r="BQ43" s="20">
        <f t="shared" si="6"/>
        <v>0.34344236433448361</v>
      </c>
      <c r="BR43" s="25">
        <f>VLOOKUP(BP43,'Hazard Weighting Functions'!$B$5:$G$1205,4,FALSE)</f>
        <v>0</v>
      </c>
      <c r="BS43" s="25">
        <f t="shared" si="28"/>
        <v>0</v>
      </c>
      <c r="BT43" s="25">
        <f t="shared" si="29"/>
        <v>0</v>
      </c>
      <c r="BV43" s="25">
        <f>VLOOKUP(BK43,'Hazard Weighting Functions'!$B$5:$G$1205,5,FALSE)</f>
        <v>0</v>
      </c>
      <c r="BW43" s="25">
        <f t="shared" si="30"/>
        <v>0</v>
      </c>
      <c r="BX43" s="25">
        <f t="shared" si="31"/>
        <v>0</v>
      </c>
    </row>
    <row r="44" spans="2:76">
      <c r="B44" s="25">
        <v>230</v>
      </c>
      <c r="C44" s="36">
        <v>4.9331498229264427E-3</v>
      </c>
      <c r="E44" s="25">
        <v>230</v>
      </c>
      <c r="F44" s="36"/>
      <c r="H44" s="25">
        <v>230</v>
      </c>
      <c r="I44" s="36"/>
      <c r="K44" s="25">
        <v>1075</v>
      </c>
      <c r="L44" s="36"/>
      <c r="N44" s="25">
        <v>330</v>
      </c>
      <c r="O44" s="36">
        <v>8.5581363423566092E-2</v>
      </c>
      <c r="Q44" s="25">
        <v>330</v>
      </c>
      <c r="R44" s="36">
        <v>4.6041290157077877E-3</v>
      </c>
      <c r="T44" s="25">
        <f>L44/C264</f>
        <v>0</v>
      </c>
      <c r="V44" s="25">
        <f t="shared" si="8"/>
        <v>230</v>
      </c>
      <c r="W44" s="25">
        <f t="shared" si="8"/>
        <v>4.9331498229264427E-3</v>
      </c>
      <c r="Y44" s="25">
        <f t="shared" si="9"/>
        <v>230</v>
      </c>
      <c r="Z44" s="25">
        <f t="shared" si="9"/>
        <v>4.9331498229264427E-3</v>
      </c>
      <c r="AA44" s="25">
        <f>VLOOKUP(Y44,'Hazard Weighting Functions'!$B$5:$G$1205,2,FALSE)</f>
        <v>0.19</v>
      </c>
      <c r="AB44" s="25">
        <f t="shared" si="10"/>
        <v>9.3729846635602415E-4</v>
      </c>
      <c r="AC44" s="25">
        <f t="shared" si="11"/>
        <v>9.3729846635602415E-4</v>
      </c>
      <c r="AE44" s="25">
        <f>VLOOKUP(Y44,'Hazard Weighting Functions'!$B$5:$G$1205,3,FALSE)</f>
        <v>0</v>
      </c>
      <c r="AF44" s="25">
        <f t="shared" si="12"/>
        <v>0</v>
      </c>
      <c r="AG44" s="25">
        <f t="shared" si="13"/>
        <v>0</v>
      </c>
      <c r="AH44" s="25">
        <f>VLOOKUP(Y44,'Hazard Weighting Functions'!$B$5:$G$1205,5,FALSE)</f>
        <v>0</v>
      </c>
      <c r="AI44" s="25">
        <f t="shared" si="14"/>
        <v>0</v>
      </c>
      <c r="AJ44" s="25">
        <f t="shared" si="15"/>
        <v>0</v>
      </c>
      <c r="AP44" s="20">
        <f>'IEC_EN62471- LED non-GLS'!E94</f>
        <v>330</v>
      </c>
      <c r="AQ44" s="20">
        <f t="shared" si="16"/>
        <v>4.009530380648255E-3</v>
      </c>
      <c r="AR44" s="25">
        <f>VLOOKUP(AP44,'Hazard Weighting Functions'!$B$5:$G$1205,3,FALSE)</f>
        <v>0.01</v>
      </c>
      <c r="AS44" s="25">
        <f t="shared" si="17"/>
        <v>4.009530380648255E-5</v>
      </c>
      <c r="AT44" s="25">
        <f t="shared" si="18"/>
        <v>1.2910399593505783E-4</v>
      </c>
      <c r="AU44" s="20">
        <f t="shared" si="7"/>
        <v>330</v>
      </c>
      <c r="AV44" s="25">
        <f>O44</f>
        <v>8.5581363423566092E-2</v>
      </c>
      <c r="AW44" s="25">
        <f>VLOOKUP(AU44,'Hazard Weighting Functions'!$B$5:$G$1205,3,FALSE)</f>
        <v>0.01</v>
      </c>
      <c r="AX44" s="25">
        <f t="shared" si="19"/>
        <v>8.5581363423566092E-4</v>
      </c>
      <c r="AY44" s="25">
        <f t="shared" si="20"/>
        <v>1.7129692182757832E-3</v>
      </c>
      <c r="AZ44" s="20">
        <f t="shared" si="2"/>
        <v>330</v>
      </c>
      <c r="BA44" s="20">
        <f t="shared" si="2"/>
        <v>4.6041290157077877E-3</v>
      </c>
      <c r="BB44" s="25">
        <f>VLOOKUP(AZ44,'Hazard Weighting Functions'!$B$5:$G$1205,3,FALSE)</f>
        <v>0.01</v>
      </c>
      <c r="BC44" s="25">
        <f t="shared" si="21"/>
        <v>4.6041290157077878E-5</v>
      </c>
      <c r="BD44" s="25">
        <f t="shared" si="22"/>
        <v>4.6041290157077878E-5</v>
      </c>
      <c r="BF44" s="20">
        <f t="shared" si="23"/>
        <v>425</v>
      </c>
      <c r="BG44" s="20">
        <f t="shared" si="23"/>
        <v>0</v>
      </c>
      <c r="BH44" s="25">
        <f>VLOOKUP(BF44,'Hazard Weighting Functions'!$B$5:$G$1205,4,FALSE)</f>
        <v>9.5</v>
      </c>
      <c r="BI44" s="25">
        <f t="shared" si="24"/>
        <v>0</v>
      </c>
      <c r="BJ44" s="25">
        <f t="shared" si="25"/>
        <v>0</v>
      </c>
      <c r="BK44" s="1">
        <f t="shared" si="5"/>
        <v>330</v>
      </c>
      <c r="BL44" s="20">
        <f t="shared" si="5"/>
        <v>8.5581363423566092E-2</v>
      </c>
      <c r="BM44" s="25">
        <f>VLOOKUP(BK44,'Hazard Weighting Functions'!$B$5:$G$1205,4,FALSE)</f>
        <v>0</v>
      </c>
      <c r="BN44" s="25">
        <f t="shared" si="26"/>
        <v>0</v>
      </c>
      <c r="BO44" s="25">
        <f t="shared" si="27"/>
        <v>0</v>
      </c>
      <c r="BP44" s="20">
        <f t="shared" si="6"/>
        <v>330</v>
      </c>
      <c r="BQ44" s="20">
        <f t="shared" si="6"/>
        <v>4.6041290157077877E-3</v>
      </c>
      <c r="BR44" s="25">
        <f>VLOOKUP(BP44,'Hazard Weighting Functions'!$B$5:$G$1205,4,FALSE)</f>
        <v>0</v>
      </c>
      <c r="BS44" s="25">
        <f t="shared" si="28"/>
        <v>0</v>
      </c>
      <c r="BT44" s="25">
        <f t="shared" si="29"/>
        <v>0</v>
      </c>
      <c r="BV44" s="25">
        <f>VLOOKUP(BK44,'Hazard Weighting Functions'!$B$5:$G$1205,5,FALSE)</f>
        <v>0</v>
      </c>
      <c r="BW44" s="25">
        <f t="shared" si="30"/>
        <v>0</v>
      </c>
      <c r="BX44" s="25">
        <f t="shared" si="31"/>
        <v>0</v>
      </c>
    </row>
    <row r="45" spans="2:76">
      <c r="B45" s="25">
        <v>232</v>
      </c>
      <c r="C45" s="36">
        <v>0</v>
      </c>
      <c r="E45" s="25">
        <v>232</v>
      </c>
      <c r="F45" s="36"/>
      <c r="H45" s="25">
        <v>232</v>
      </c>
      <c r="I45" s="36"/>
      <c r="K45" s="25">
        <v>1080</v>
      </c>
      <c r="L45" s="36"/>
      <c r="N45" s="25">
        <v>332</v>
      </c>
      <c r="O45" s="36">
        <v>8.5715558404012238E-2</v>
      </c>
      <c r="Q45" s="25">
        <v>332</v>
      </c>
      <c r="R45" s="36">
        <v>0</v>
      </c>
      <c r="T45" s="25">
        <f>L45/C265</f>
        <v>0</v>
      </c>
      <c r="V45" s="25">
        <f t="shared" si="8"/>
        <v>232</v>
      </c>
      <c r="W45" s="25">
        <f t="shared" si="8"/>
        <v>0</v>
      </c>
      <c r="Y45" s="25">
        <f t="shared" si="9"/>
        <v>232</v>
      </c>
      <c r="Z45" s="25">
        <f t="shared" si="9"/>
        <v>0</v>
      </c>
      <c r="AA45" s="25">
        <f>VLOOKUP(Y45,'Hazard Weighting Functions'!$B$5:$G$1205,2,FALSE)</f>
        <v>0.2089</v>
      </c>
      <c r="AB45" s="25">
        <f t="shared" si="10"/>
        <v>0</v>
      </c>
      <c r="AC45" s="25">
        <f t="shared" si="11"/>
        <v>1.2137770441706562E-3</v>
      </c>
      <c r="AE45" s="25">
        <f>VLOOKUP(Y45,'Hazard Weighting Functions'!$B$5:$G$1205,3,FALSE)</f>
        <v>0</v>
      </c>
      <c r="AF45" s="25">
        <f t="shared" si="12"/>
        <v>0</v>
      </c>
      <c r="AG45" s="25">
        <f t="shared" si="13"/>
        <v>0</v>
      </c>
      <c r="AH45" s="25">
        <f>VLOOKUP(Y45,'Hazard Weighting Functions'!$B$5:$G$1205,5,FALSE)</f>
        <v>0</v>
      </c>
      <c r="AI45" s="25">
        <f t="shared" si="14"/>
        <v>0</v>
      </c>
      <c r="AJ45" s="25">
        <f t="shared" si="15"/>
        <v>0</v>
      </c>
      <c r="AP45" s="20">
        <f>'IEC_EN62471- LED non-GLS'!E95</f>
        <v>332</v>
      </c>
      <c r="AQ45" s="20">
        <f t="shared" si="16"/>
        <v>8.9008692128575255E-3</v>
      </c>
      <c r="AR45" s="25">
        <f>VLOOKUP(AP45,'Hazard Weighting Functions'!$B$5:$G$1205,3,FALSE)</f>
        <v>0.01</v>
      </c>
      <c r="AS45" s="25">
        <f t="shared" si="17"/>
        <v>8.9008692128575263E-5</v>
      </c>
      <c r="AT45" s="25">
        <f t="shared" si="18"/>
        <v>1.6204931869501422E-4</v>
      </c>
      <c r="AU45" s="20">
        <f t="shared" si="7"/>
        <v>332</v>
      </c>
      <c r="AV45" s="25">
        <f>O45</f>
        <v>8.5715558404012238E-2</v>
      </c>
      <c r="AW45" s="25">
        <f>VLOOKUP(AU45,'Hazard Weighting Functions'!$B$5:$G$1205,3,FALSE)</f>
        <v>0.01</v>
      </c>
      <c r="AX45" s="25">
        <f t="shared" si="19"/>
        <v>8.5715558404012243E-4</v>
      </c>
      <c r="AY45" s="25">
        <f t="shared" si="20"/>
        <v>1.7432644903714132E-3</v>
      </c>
      <c r="AZ45" s="20">
        <f t="shared" si="2"/>
        <v>332</v>
      </c>
      <c r="BA45" s="20">
        <f t="shared" si="2"/>
        <v>0</v>
      </c>
      <c r="BB45" s="25">
        <f>VLOOKUP(AZ45,'Hazard Weighting Functions'!$B$5:$G$1205,3,FALSE)</f>
        <v>0.01</v>
      </c>
      <c r="BC45" s="25">
        <f t="shared" si="21"/>
        <v>0</v>
      </c>
      <c r="BD45" s="25">
        <f t="shared" si="22"/>
        <v>4.2150606975638457E-3</v>
      </c>
      <c r="BF45" s="20">
        <f t="shared" si="23"/>
        <v>430</v>
      </c>
      <c r="BG45" s="20">
        <f t="shared" si="23"/>
        <v>0</v>
      </c>
      <c r="BH45" s="25">
        <f>VLOOKUP(BF45,'Hazard Weighting Functions'!$B$5:$G$1205,4,FALSE)</f>
        <v>9.8000000000000007</v>
      </c>
      <c r="BI45" s="25">
        <f t="shared" si="24"/>
        <v>0</v>
      </c>
      <c r="BJ45" s="25">
        <f t="shared" si="25"/>
        <v>0</v>
      </c>
      <c r="BK45" s="1">
        <f t="shared" si="5"/>
        <v>332</v>
      </c>
      <c r="BL45" s="20">
        <f t="shared" si="5"/>
        <v>8.5715558404012238E-2</v>
      </c>
      <c r="BM45" s="25">
        <f>VLOOKUP(BK45,'Hazard Weighting Functions'!$B$5:$G$1205,4,FALSE)</f>
        <v>0</v>
      </c>
      <c r="BN45" s="25">
        <f t="shared" si="26"/>
        <v>0</v>
      </c>
      <c r="BO45" s="25">
        <f t="shared" si="27"/>
        <v>0</v>
      </c>
      <c r="BP45" s="20">
        <f t="shared" si="6"/>
        <v>332</v>
      </c>
      <c r="BQ45" s="20">
        <f t="shared" si="6"/>
        <v>0</v>
      </c>
      <c r="BR45" s="25">
        <f>VLOOKUP(BP45,'Hazard Weighting Functions'!$B$5:$G$1205,4,FALSE)</f>
        <v>0</v>
      </c>
      <c r="BS45" s="25">
        <f t="shared" si="28"/>
        <v>0</v>
      </c>
      <c r="BT45" s="25">
        <f t="shared" si="29"/>
        <v>0</v>
      </c>
      <c r="BV45" s="25">
        <f>VLOOKUP(BK45,'Hazard Weighting Functions'!$B$5:$G$1205,5,FALSE)</f>
        <v>0</v>
      </c>
      <c r="BW45" s="25">
        <f t="shared" si="30"/>
        <v>0</v>
      </c>
      <c r="BX45" s="25">
        <f t="shared" si="31"/>
        <v>0</v>
      </c>
    </row>
    <row r="46" spans="2:76">
      <c r="B46" s="25">
        <v>234</v>
      </c>
      <c r="C46" s="36">
        <v>5.2957113620011181E-3</v>
      </c>
      <c r="E46" s="25">
        <v>234</v>
      </c>
      <c r="F46" s="36"/>
      <c r="H46" s="25">
        <v>234</v>
      </c>
      <c r="I46" s="36"/>
      <c r="K46" s="25">
        <v>1085</v>
      </c>
      <c r="L46" s="36"/>
      <c r="N46" s="25">
        <v>334</v>
      </c>
      <c r="O46" s="36">
        <v>8.8610890633129089E-2</v>
      </c>
      <c r="Q46" s="25">
        <v>334</v>
      </c>
      <c r="R46" s="36">
        <v>0.4215060697563846</v>
      </c>
      <c r="T46" s="25">
        <f>L46/C266</f>
        <v>0</v>
      </c>
      <c r="V46" s="25">
        <f t="shared" si="8"/>
        <v>234</v>
      </c>
      <c r="W46" s="25">
        <f t="shared" si="8"/>
        <v>5.2957113620011181E-3</v>
      </c>
      <c r="Y46" s="25">
        <f t="shared" si="9"/>
        <v>234</v>
      </c>
      <c r="Z46" s="25">
        <f t="shared" si="9"/>
        <v>5.2957113620011181E-3</v>
      </c>
      <c r="AA46" s="25">
        <f>VLOOKUP(Y46,'Hazard Weighting Functions'!$B$5:$G$1205,2,FALSE)</f>
        <v>0.22919999999999999</v>
      </c>
      <c r="AB46" s="25">
        <f t="shared" si="10"/>
        <v>1.2137770441706562E-3</v>
      </c>
      <c r="AC46" s="25">
        <f t="shared" si="11"/>
        <v>1.2137770441706562E-3</v>
      </c>
      <c r="AE46" s="25">
        <f>VLOOKUP(Y46,'Hazard Weighting Functions'!$B$5:$G$1205,3,FALSE)</f>
        <v>0</v>
      </c>
      <c r="AF46" s="25">
        <f t="shared" si="12"/>
        <v>0</v>
      </c>
      <c r="AG46" s="25">
        <f t="shared" si="13"/>
        <v>0</v>
      </c>
      <c r="AH46" s="25">
        <f>VLOOKUP(Y46,'Hazard Weighting Functions'!$B$5:$G$1205,5,FALSE)</f>
        <v>0</v>
      </c>
      <c r="AI46" s="25">
        <f t="shared" si="14"/>
        <v>0</v>
      </c>
      <c r="AJ46" s="25">
        <f t="shared" si="15"/>
        <v>0</v>
      </c>
      <c r="AP46" s="20">
        <f>'IEC_EN62471- LED non-GLS'!E96</f>
        <v>334</v>
      </c>
      <c r="AQ46" s="20">
        <f t="shared" si="16"/>
        <v>7.3040626566438947E-3</v>
      </c>
      <c r="AR46" s="25">
        <f>VLOOKUP(AP46,'Hazard Weighting Functions'!$B$5:$G$1205,3,FALSE)</f>
        <v>0.01</v>
      </c>
      <c r="AS46" s="25">
        <f t="shared" si="17"/>
        <v>7.3040626566438943E-5</v>
      </c>
      <c r="AT46" s="25">
        <f t="shared" si="18"/>
        <v>2.4418784071230748E-4</v>
      </c>
      <c r="AU46" s="20">
        <f t="shared" si="7"/>
        <v>334</v>
      </c>
      <c r="AV46" s="25">
        <f>O46</f>
        <v>8.8610890633129089E-2</v>
      </c>
      <c r="AW46" s="25">
        <f>VLOOKUP(AU46,'Hazard Weighting Functions'!$B$5:$G$1205,3,FALSE)</f>
        <v>0.01</v>
      </c>
      <c r="AX46" s="25">
        <f t="shared" si="19"/>
        <v>8.8610890633129087E-4</v>
      </c>
      <c r="AY46" s="25">
        <f t="shared" si="20"/>
        <v>1.7728582439909672E-3</v>
      </c>
      <c r="AZ46" s="20">
        <f t="shared" si="2"/>
        <v>334</v>
      </c>
      <c r="BA46" s="20">
        <f t="shared" si="2"/>
        <v>0.4215060697563846</v>
      </c>
      <c r="BB46" s="25">
        <f>VLOOKUP(AZ46,'Hazard Weighting Functions'!$B$5:$G$1205,3,FALSE)</f>
        <v>0.01</v>
      </c>
      <c r="BC46" s="25">
        <f t="shared" si="21"/>
        <v>4.2150606975638457E-3</v>
      </c>
      <c r="BD46" s="25">
        <f t="shared" si="22"/>
        <v>5.3031420382741827E-3</v>
      </c>
      <c r="BF46" s="20">
        <f t="shared" ref="BF46:BG61" si="32">H136</f>
        <v>435</v>
      </c>
      <c r="BG46" s="20">
        <f t="shared" si="32"/>
        <v>0</v>
      </c>
      <c r="BH46" s="25">
        <f>VLOOKUP(BF46,'Hazard Weighting Functions'!$B$5:$G$1205,4,FALSE)</f>
        <v>10</v>
      </c>
      <c r="BI46" s="25">
        <f t="shared" si="24"/>
        <v>0</v>
      </c>
      <c r="BJ46" s="25">
        <f t="shared" si="25"/>
        <v>0</v>
      </c>
      <c r="BK46" s="1">
        <f t="shared" si="5"/>
        <v>334</v>
      </c>
      <c r="BL46" s="20">
        <f t="shared" si="5"/>
        <v>8.8610890633129089E-2</v>
      </c>
      <c r="BM46" s="25">
        <f>VLOOKUP(BK46,'Hazard Weighting Functions'!$B$5:$G$1205,4,FALSE)</f>
        <v>0</v>
      </c>
      <c r="BN46" s="25">
        <f t="shared" si="26"/>
        <v>0</v>
      </c>
      <c r="BO46" s="25">
        <f t="shared" si="27"/>
        <v>0</v>
      </c>
      <c r="BP46" s="20">
        <f t="shared" si="6"/>
        <v>334</v>
      </c>
      <c r="BQ46" s="20">
        <f t="shared" si="6"/>
        <v>0.4215060697563846</v>
      </c>
      <c r="BR46" s="25">
        <f>VLOOKUP(BP46,'Hazard Weighting Functions'!$B$5:$G$1205,4,FALSE)</f>
        <v>0</v>
      </c>
      <c r="BS46" s="25">
        <f t="shared" si="28"/>
        <v>0</v>
      </c>
      <c r="BT46" s="25">
        <f t="shared" si="29"/>
        <v>0</v>
      </c>
      <c r="BV46" s="25">
        <f>VLOOKUP(BK46,'Hazard Weighting Functions'!$B$5:$G$1205,5,FALSE)</f>
        <v>0</v>
      </c>
      <c r="BW46" s="25">
        <f t="shared" si="30"/>
        <v>0</v>
      </c>
      <c r="BX46" s="25">
        <f t="shared" si="31"/>
        <v>0</v>
      </c>
    </row>
    <row r="47" spans="2:76">
      <c r="B47" s="25">
        <v>236</v>
      </c>
      <c r="C47" s="36">
        <v>0</v>
      </c>
      <c r="E47" s="25">
        <v>236</v>
      </c>
      <c r="F47" s="36"/>
      <c r="H47" s="25">
        <v>236</v>
      </c>
      <c r="I47" s="36"/>
      <c r="K47" s="25">
        <v>1090</v>
      </c>
      <c r="L47" s="36"/>
      <c r="N47" s="25">
        <v>336</v>
      </c>
      <c r="O47" s="36">
        <v>8.8674933765967634E-2</v>
      </c>
      <c r="Q47" s="25">
        <v>336</v>
      </c>
      <c r="R47" s="36">
        <v>0.10880813407103368</v>
      </c>
      <c r="T47" s="25">
        <f>L47/C267</f>
        <v>0</v>
      </c>
      <c r="V47" s="25">
        <f t="shared" si="8"/>
        <v>236</v>
      </c>
      <c r="W47" s="25">
        <f t="shared" si="8"/>
        <v>0</v>
      </c>
      <c r="Y47" s="25">
        <f t="shared" si="9"/>
        <v>236</v>
      </c>
      <c r="Z47" s="25">
        <f t="shared" si="9"/>
        <v>0</v>
      </c>
      <c r="AA47" s="25">
        <f>VLOOKUP(Y47,'Hazard Weighting Functions'!$B$5:$G$1205,2,FALSE)</f>
        <v>0.251</v>
      </c>
      <c r="AB47" s="25">
        <f t="shared" si="10"/>
        <v>0</v>
      </c>
      <c r="AC47" s="25">
        <f t="shared" si="11"/>
        <v>0</v>
      </c>
      <c r="AE47" s="25">
        <f>VLOOKUP(Y47,'Hazard Weighting Functions'!$B$5:$G$1205,3,FALSE)</f>
        <v>0</v>
      </c>
      <c r="AF47" s="25">
        <f t="shared" si="12"/>
        <v>0</v>
      </c>
      <c r="AG47" s="25">
        <f t="shared" si="13"/>
        <v>0</v>
      </c>
      <c r="AH47" s="25">
        <f>VLOOKUP(Y47,'Hazard Weighting Functions'!$B$5:$G$1205,5,FALSE)</f>
        <v>0</v>
      </c>
      <c r="AI47" s="25">
        <f t="shared" si="14"/>
        <v>0</v>
      </c>
      <c r="AJ47" s="25">
        <f t="shared" si="15"/>
        <v>0</v>
      </c>
      <c r="AP47" s="20">
        <f>'IEC_EN62471- LED non-GLS'!E97</f>
        <v>336</v>
      </c>
      <c r="AQ47" s="20">
        <f t="shared" si="16"/>
        <v>1.7114721414586854E-2</v>
      </c>
      <c r="AR47" s="25">
        <f>VLOOKUP(AP47,'Hazard Weighting Functions'!$B$5:$G$1205,3,FALSE)</f>
        <v>0.01</v>
      </c>
      <c r="AS47" s="25">
        <f t="shared" si="17"/>
        <v>1.7114721414586854E-4</v>
      </c>
      <c r="AT47" s="25">
        <f t="shared" si="18"/>
        <v>4.3145587251090708E-4</v>
      </c>
      <c r="AU47" s="20">
        <f t="shared" si="7"/>
        <v>336</v>
      </c>
      <c r="AV47" s="25">
        <f>O47</f>
        <v>8.8674933765967634E-2</v>
      </c>
      <c r="AW47" s="25">
        <f>VLOOKUP(AU47,'Hazard Weighting Functions'!$B$5:$G$1205,3,FALSE)</f>
        <v>0.01</v>
      </c>
      <c r="AX47" s="25">
        <f t="shared" si="19"/>
        <v>8.8674933765967631E-4</v>
      </c>
      <c r="AY47" s="25">
        <f t="shared" si="20"/>
        <v>1.7827553619527857E-3</v>
      </c>
      <c r="AZ47" s="20">
        <f t="shared" si="2"/>
        <v>336</v>
      </c>
      <c r="BA47" s="20">
        <f t="shared" si="2"/>
        <v>0.10880813407103368</v>
      </c>
      <c r="BB47" s="25">
        <f>VLOOKUP(AZ47,'Hazard Weighting Functions'!$B$5:$G$1205,3,FALSE)</f>
        <v>0.01</v>
      </c>
      <c r="BC47" s="25">
        <f t="shared" si="21"/>
        <v>1.0880813407103368E-3</v>
      </c>
      <c r="BD47" s="25">
        <f t="shared" si="22"/>
        <v>1.0880813407103368E-3</v>
      </c>
      <c r="BF47" s="20">
        <f t="shared" si="32"/>
        <v>440</v>
      </c>
      <c r="BG47" s="20">
        <f t="shared" si="32"/>
        <v>0</v>
      </c>
      <c r="BH47" s="25">
        <f>VLOOKUP(BF47,'Hazard Weighting Functions'!$B$5:$G$1205,4,FALSE)</f>
        <v>10</v>
      </c>
      <c r="BI47" s="25">
        <f t="shared" si="24"/>
        <v>0</v>
      </c>
      <c r="BJ47" s="25">
        <f t="shared" si="25"/>
        <v>0</v>
      </c>
      <c r="BK47" s="1">
        <f t="shared" si="5"/>
        <v>336</v>
      </c>
      <c r="BL47" s="20">
        <f t="shared" si="5"/>
        <v>8.8674933765967634E-2</v>
      </c>
      <c r="BM47" s="25">
        <f>VLOOKUP(BK47,'Hazard Weighting Functions'!$B$5:$G$1205,4,FALSE)</f>
        <v>0</v>
      </c>
      <c r="BN47" s="25">
        <f t="shared" si="26"/>
        <v>0</v>
      </c>
      <c r="BO47" s="25">
        <f t="shared" si="27"/>
        <v>0</v>
      </c>
      <c r="BP47" s="20">
        <f t="shared" si="6"/>
        <v>336</v>
      </c>
      <c r="BQ47" s="20">
        <f t="shared" si="6"/>
        <v>0.10880813407103368</v>
      </c>
      <c r="BR47" s="25">
        <f>VLOOKUP(BP47,'Hazard Weighting Functions'!$B$5:$G$1205,4,FALSE)</f>
        <v>0</v>
      </c>
      <c r="BS47" s="25">
        <f t="shared" si="28"/>
        <v>0</v>
      </c>
      <c r="BT47" s="25">
        <f t="shared" si="29"/>
        <v>0</v>
      </c>
      <c r="BV47" s="25">
        <f>VLOOKUP(BK47,'Hazard Weighting Functions'!$B$5:$G$1205,5,FALSE)</f>
        <v>0</v>
      </c>
      <c r="BW47" s="25">
        <f t="shared" si="30"/>
        <v>0</v>
      </c>
      <c r="BX47" s="25">
        <f t="shared" si="31"/>
        <v>0</v>
      </c>
    </row>
    <row r="48" spans="2:76">
      <c r="B48" s="25">
        <v>238</v>
      </c>
      <c r="C48" s="36">
        <v>0</v>
      </c>
      <c r="E48" s="25">
        <v>238</v>
      </c>
      <c r="F48" s="36"/>
      <c r="H48" s="25">
        <v>238</v>
      </c>
      <c r="I48" s="36"/>
      <c r="K48" s="25">
        <v>1095</v>
      </c>
      <c r="L48" s="36"/>
      <c r="N48" s="25">
        <v>338</v>
      </c>
      <c r="O48" s="36">
        <v>8.9600602429310935E-2</v>
      </c>
      <c r="Q48" s="25">
        <v>338</v>
      </c>
      <c r="R48" s="36">
        <v>0</v>
      </c>
      <c r="T48" s="25">
        <f>L48/C268</f>
        <v>0</v>
      </c>
      <c r="V48" s="25">
        <f t="shared" si="8"/>
        <v>238</v>
      </c>
      <c r="W48" s="25">
        <f t="shared" si="8"/>
        <v>0</v>
      </c>
      <c r="Y48" s="25">
        <f t="shared" si="9"/>
        <v>238</v>
      </c>
      <c r="Z48" s="25">
        <f t="shared" si="9"/>
        <v>0</v>
      </c>
      <c r="AA48" s="25">
        <f>VLOOKUP(Y48,'Hazard Weighting Functions'!$B$5:$G$1205,2,FALSE)</f>
        <v>0.27439999999999998</v>
      </c>
      <c r="AB48" s="25">
        <f t="shared" si="10"/>
        <v>0</v>
      </c>
      <c r="AC48" s="25">
        <f t="shared" si="11"/>
        <v>6.7751051601840095E-4</v>
      </c>
      <c r="AE48" s="25">
        <f>VLOOKUP(Y48,'Hazard Weighting Functions'!$B$5:$G$1205,3,FALSE)</f>
        <v>0</v>
      </c>
      <c r="AF48" s="25">
        <f t="shared" si="12"/>
        <v>0</v>
      </c>
      <c r="AG48" s="25">
        <f t="shared" si="13"/>
        <v>0</v>
      </c>
      <c r="AH48" s="25">
        <f>VLOOKUP(Y48,'Hazard Weighting Functions'!$B$5:$G$1205,5,FALSE)</f>
        <v>0</v>
      </c>
      <c r="AI48" s="25">
        <f t="shared" si="14"/>
        <v>0</v>
      </c>
      <c r="AJ48" s="25">
        <f t="shared" si="15"/>
        <v>0</v>
      </c>
      <c r="AP48" s="20">
        <f>'IEC_EN62471- LED non-GLS'!E98</f>
        <v>338</v>
      </c>
      <c r="AQ48" s="20">
        <f t="shared" si="16"/>
        <v>2.6030865836503853E-2</v>
      </c>
      <c r="AR48" s="25">
        <f>VLOOKUP(AP48,'Hazard Weighting Functions'!$B$5:$G$1205,3,FALSE)</f>
        <v>0.01</v>
      </c>
      <c r="AS48" s="25">
        <f t="shared" si="17"/>
        <v>2.6030865836503854E-4</v>
      </c>
      <c r="AT48" s="25">
        <f t="shared" si="18"/>
        <v>5.3857488992428639E-4</v>
      </c>
      <c r="AU48" s="20">
        <f t="shared" si="7"/>
        <v>338</v>
      </c>
      <c r="AV48" s="25">
        <f>O48</f>
        <v>8.9600602429310935E-2</v>
      </c>
      <c r="AW48" s="25">
        <f>VLOOKUP(AU48,'Hazard Weighting Functions'!$B$5:$G$1205,3,FALSE)</f>
        <v>0.01</v>
      </c>
      <c r="AX48" s="25">
        <f t="shared" si="19"/>
        <v>8.9600602429310938E-4</v>
      </c>
      <c r="AY48" s="25">
        <f t="shared" si="20"/>
        <v>1.7990166846627007E-3</v>
      </c>
      <c r="AZ48" s="20">
        <f t="shared" si="2"/>
        <v>338</v>
      </c>
      <c r="BA48" s="20">
        <f t="shared" si="2"/>
        <v>0</v>
      </c>
      <c r="BB48" s="25">
        <f>VLOOKUP(AZ48,'Hazard Weighting Functions'!$B$5:$G$1205,3,FALSE)</f>
        <v>0.01</v>
      </c>
      <c r="BC48" s="25">
        <f t="shared" si="21"/>
        <v>0</v>
      </c>
      <c r="BD48" s="25">
        <f t="shared" si="22"/>
        <v>1.2207272738652898E-3</v>
      </c>
      <c r="BF48" s="20">
        <f t="shared" si="32"/>
        <v>445</v>
      </c>
      <c r="BG48" s="20">
        <f t="shared" si="32"/>
        <v>0</v>
      </c>
      <c r="BH48" s="25">
        <f>VLOOKUP(BF48,'Hazard Weighting Functions'!$B$5:$G$1205,4,FALSE)</f>
        <v>9.6999999999999993</v>
      </c>
      <c r="BI48" s="25">
        <f t="shared" si="24"/>
        <v>0</v>
      </c>
      <c r="BJ48" s="25">
        <f t="shared" si="25"/>
        <v>0</v>
      </c>
      <c r="BK48" s="1">
        <f t="shared" si="5"/>
        <v>338</v>
      </c>
      <c r="BL48" s="20">
        <f t="shared" si="5"/>
        <v>8.9600602429310935E-2</v>
      </c>
      <c r="BM48" s="25">
        <f>VLOOKUP(BK48,'Hazard Weighting Functions'!$B$5:$G$1205,4,FALSE)</f>
        <v>0</v>
      </c>
      <c r="BN48" s="25">
        <f t="shared" si="26"/>
        <v>0</v>
      </c>
      <c r="BO48" s="25">
        <f t="shared" si="27"/>
        <v>0</v>
      </c>
      <c r="BP48" s="20">
        <f t="shared" si="6"/>
        <v>338</v>
      </c>
      <c r="BQ48" s="20">
        <f t="shared" si="6"/>
        <v>0</v>
      </c>
      <c r="BR48" s="25">
        <f>VLOOKUP(BP48,'Hazard Weighting Functions'!$B$5:$G$1205,4,FALSE)</f>
        <v>0</v>
      </c>
      <c r="BS48" s="25">
        <f t="shared" si="28"/>
        <v>0</v>
      </c>
      <c r="BT48" s="25">
        <f t="shared" si="29"/>
        <v>0</v>
      </c>
      <c r="BV48" s="25">
        <f>VLOOKUP(BK48,'Hazard Weighting Functions'!$B$5:$G$1205,5,FALSE)</f>
        <v>0</v>
      </c>
      <c r="BW48" s="25">
        <f t="shared" si="30"/>
        <v>0</v>
      </c>
      <c r="BX48" s="25">
        <f t="shared" si="31"/>
        <v>0</v>
      </c>
    </row>
    <row r="49" spans="2:76">
      <c r="B49" s="25">
        <v>240</v>
      </c>
      <c r="C49" s="36">
        <v>2.2583683867280031E-3</v>
      </c>
      <c r="E49" s="25">
        <v>240</v>
      </c>
      <c r="F49" s="36"/>
      <c r="H49" s="25">
        <v>240</v>
      </c>
      <c r="I49" s="36"/>
      <c r="K49" s="25">
        <v>1100</v>
      </c>
      <c r="L49" s="36"/>
      <c r="N49" s="25">
        <v>340</v>
      </c>
      <c r="O49" s="36">
        <v>9.0301066036959129E-2</v>
      </c>
      <c r="Q49" s="25">
        <v>340</v>
      </c>
      <c r="R49" s="36">
        <v>0.12207272738652898</v>
      </c>
      <c r="T49" s="25">
        <f>L49/C269</f>
        <v>0</v>
      </c>
      <c r="V49" s="25">
        <f t="shared" si="8"/>
        <v>240</v>
      </c>
      <c r="W49" s="25">
        <f t="shared" si="8"/>
        <v>2.2583683867280031E-3</v>
      </c>
      <c r="Y49" s="25">
        <f t="shared" si="9"/>
        <v>240</v>
      </c>
      <c r="Z49" s="25">
        <f t="shared" si="9"/>
        <v>2.2583683867280031E-3</v>
      </c>
      <c r="AA49" s="25">
        <f>VLOOKUP(Y49,'Hazard Weighting Functions'!$B$5:$G$1205,2,FALSE)</f>
        <v>0.3</v>
      </c>
      <c r="AB49" s="25">
        <f t="shared" si="10"/>
        <v>6.7751051601840095E-4</v>
      </c>
      <c r="AC49" s="25">
        <f t="shared" si="11"/>
        <v>2.0647307996207063E-3</v>
      </c>
      <c r="AE49" s="25">
        <f>VLOOKUP(Y49,'Hazard Weighting Functions'!$B$5:$G$1205,3,FALSE)</f>
        <v>0</v>
      </c>
      <c r="AF49" s="25">
        <f t="shared" si="12"/>
        <v>0</v>
      </c>
      <c r="AG49" s="25">
        <f t="shared" si="13"/>
        <v>0</v>
      </c>
      <c r="AH49" s="25">
        <f>VLOOKUP(Y49,'Hazard Weighting Functions'!$B$5:$G$1205,5,FALSE)</f>
        <v>0</v>
      </c>
      <c r="AI49" s="25">
        <f t="shared" si="14"/>
        <v>0</v>
      </c>
      <c r="AJ49" s="25">
        <f t="shared" si="15"/>
        <v>0</v>
      </c>
      <c r="AP49" s="20">
        <f>'IEC_EN62471- LED non-GLS'!E99</f>
        <v>340</v>
      </c>
      <c r="AQ49" s="20">
        <f t="shared" si="16"/>
        <v>2.7826623155924782E-2</v>
      </c>
      <c r="AR49" s="25">
        <f>VLOOKUP(AP49,'Hazard Weighting Functions'!$B$5:$G$1205,3,FALSE)</f>
        <v>0.01</v>
      </c>
      <c r="AS49" s="25">
        <f t="shared" si="17"/>
        <v>2.7826623155924785E-4</v>
      </c>
      <c r="AT49" s="25">
        <f t="shared" si="18"/>
        <v>5.6470073383220703E-4</v>
      </c>
      <c r="AU49" s="20">
        <f t="shared" si="7"/>
        <v>340</v>
      </c>
      <c r="AV49" s="25">
        <f>O49</f>
        <v>9.0301066036959129E-2</v>
      </c>
      <c r="AW49" s="25">
        <f>VLOOKUP(AU49,'Hazard Weighting Functions'!$B$5:$G$1205,3,FALSE)</f>
        <v>0.01</v>
      </c>
      <c r="AX49" s="25">
        <f t="shared" si="19"/>
        <v>9.0301066036959136E-4</v>
      </c>
      <c r="AY49" s="25">
        <f t="shared" si="20"/>
        <v>1.7400112779143906E-3</v>
      </c>
      <c r="AZ49" s="20">
        <f t="shared" si="2"/>
        <v>340</v>
      </c>
      <c r="BA49" s="20">
        <f t="shared" si="2"/>
        <v>0.12207272738652898</v>
      </c>
      <c r="BB49" s="25">
        <f>VLOOKUP(AZ49,'Hazard Weighting Functions'!$B$5:$G$1205,3,FALSE)</f>
        <v>0.01</v>
      </c>
      <c r="BC49" s="25">
        <f t="shared" si="21"/>
        <v>1.2207272738652898E-3</v>
      </c>
      <c r="BD49" s="25">
        <f t="shared" si="22"/>
        <v>1.6661354350817111E-3</v>
      </c>
      <c r="BF49" s="20">
        <f t="shared" si="32"/>
        <v>450</v>
      </c>
      <c r="BG49" s="20">
        <f t="shared" si="32"/>
        <v>0</v>
      </c>
      <c r="BH49" s="25">
        <f>VLOOKUP(BF49,'Hazard Weighting Functions'!$B$5:$G$1205,4,FALSE)</f>
        <v>9.4</v>
      </c>
      <c r="BI49" s="25">
        <f t="shared" si="24"/>
        <v>0</v>
      </c>
      <c r="BJ49" s="25">
        <f t="shared" si="25"/>
        <v>0</v>
      </c>
      <c r="BK49" s="1">
        <f t="shared" si="5"/>
        <v>340</v>
      </c>
      <c r="BL49" s="20">
        <f t="shared" si="5"/>
        <v>9.0301066036959129E-2</v>
      </c>
      <c r="BM49" s="25">
        <f>VLOOKUP(BK49,'Hazard Weighting Functions'!$B$5:$G$1205,4,FALSE)</f>
        <v>0</v>
      </c>
      <c r="BN49" s="25">
        <f t="shared" si="26"/>
        <v>0</v>
      </c>
      <c r="BO49" s="25">
        <f t="shared" si="27"/>
        <v>0</v>
      </c>
      <c r="BP49" s="20">
        <f t="shared" si="6"/>
        <v>340</v>
      </c>
      <c r="BQ49" s="20">
        <f t="shared" si="6"/>
        <v>0.12207272738652898</v>
      </c>
      <c r="BR49" s="25">
        <f>VLOOKUP(BP49,'Hazard Weighting Functions'!$B$5:$G$1205,4,FALSE)</f>
        <v>0</v>
      </c>
      <c r="BS49" s="25">
        <f t="shared" si="28"/>
        <v>0</v>
      </c>
      <c r="BT49" s="25">
        <f t="shared" si="29"/>
        <v>0</v>
      </c>
      <c r="BV49" s="25">
        <f>VLOOKUP(BK49,'Hazard Weighting Functions'!$B$5:$G$1205,5,FALSE)</f>
        <v>0</v>
      </c>
      <c r="BW49" s="25">
        <f t="shared" si="30"/>
        <v>0</v>
      </c>
      <c r="BX49" s="25">
        <f t="shared" si="31"/>
        <v>0</v>
      </c>
    </row>
    <row r="50" spans="2:76">
      <c r="B50" s="25">
        <v>242</v>
      </c>
      <c r="C50" s="36">
        <v>4.2987923260065239E-3</v>
      </c>
      <c r="E50" s="25">
        <v>242</v>
      </c>
      <c r="F50" s="36"/>
      <c r="H50" s="25">
        <v>242</v>
      </c>
      <c r="I50" s="36"/>
      <c r="K50" s="25">
        <v>1105</v>
      </c>
      <c r="L50" s="36"/>
      <c r="N50" s="25">
        <v>342</v>
      </c>
      <c r="O50" s="36">
        <v>8.3700061754479915E-2</v>
      </c>
      <c r="Q50" s="25">
        <v>342</v>
      </c>
      <c r="R50" s="36">
        <v>4.4540816121642124E-2</v>
      </c>
      <c r="V50" s="25">
        <f t="shared" si="8"/>
        <v>242</v>
      </c>
      <c r="W50" s="25">
        <f t="shared" si="8"/>
        <v>4.2987923260065239E-3</v>
      </c>
      <c r="Y50" s="25">
        <f t="shared" si="9"/>
        <v>242</v>
      </c>
      <c r="Z50" s="25">
        <f t="shared" si="9"/>
        <v>4.2987923260065239E-3</v>
      </c>
      <c r="AA50" s="25">
        <f>VLOOKUP(Y50,'Hazard Weighting Functions'!$B$5:$G$1205,2,FALSE)</f>
        <v>0.32269999999999999</v>
      </c>
      <c r="AB50" s="25">
        <f t="shared" si="10"/>
        <v>1.3872202836023053E-3</v>
      </c>
      <c r="AC50" s="25">
        <f t="shared" si="11"/>
        <v>1.6543082039211202E-3</v>
      </c>
      <c r="AE50" s="25">
        <f>VLOOKUP(Y50,'Hazard Weighting Functions'!$B$5:$G$1205,3,FALSE)</f>
        <v>0</v>
      </c>
      <c r="AF50" s="25">
        <f t="shared" si="12"/>
        <v>0</v>
      </c>
      <c r="AG50" s="25">
        <f t="shared" si="13"/>
        <v>0</v>
      </c>
      <c r="AH50" s="25">
        <f>VLOOKUP(Y50,'Hazard Weighting Functions'!$B$5:$G$1205,5,FALSE)</f>
        <v>0</v>
      </c>
      <c r="AI50" s="25">
        <f t="shared" si="14"/>
        <v>0</v>
      </c>
      <c r="AJ50" s="25">
        <f t="shared" si="15"/>
        <v>0</v>
      </c>
      <c r="AP50" s="20">
        <f>'IEC_EN62471- LED non-GLS'!E100</f>
        <v>342</v>
      </c>
      <c r="AQ50" s="20">
        <f t="shared" si="16"/>
        <v>2.8643450227295912E-2</v>
      </c>
      <c r="AR50" s="25">
        <f>VLOOKUP(AP50,'Hazard Weighting Functions'!$B$5:$G$1205,3,FALSE)</f>
        <v>0.01</v>
      </c>
      <c r="AS50" s="25">
        <f t="shared" si="17"/>
        <v>2.8643450227295913E-4</v>
      </c>
      <c r="AT50" s="25">
        <f t="shared" si="18"/>
        <v>6.2269427483913281E-4</v>
      </c>
      <c r="AU50" s="20">
        <f t="shared" si="7"/>
        <v>342</v>
      </c>
      <c r="AV50" s="25">
        <f>O50</f>
        <v>8.3700061754479915E-2</v>
      </c>
      <c r="AW50" s="25">
        <f>VLOOKUP(AU50,'Hazard Weighting Functions'!$B$5:$G$1205,3,FALSE)</f>
        <v>0.01</v>
      </c>
      <c r="AX50" s="25">
        <f t="shared" si="19"/>
        <v>8.3700061754479922E-4</v>
      </c>
      <c r="AY50" s="25">
        <f t="shared" si="20"/>
        <v>1.6595929594164748E-3</v>
      </c>
      <c r="AZ50" s="20">
        <f t="shared" si="2"/>
        <v>342</v>
      </c>
      <c r="BA50" s="20">
        <f t="shared" si="2"/>
        <v>4.4540816121642124E-2</v>
      </c>
      <c r="BB50" s="25">
        <f>VLOOKUP(AZ50,'Hazard Weighting Functions'!$B$5:$G$1205,3,FALSE)</f>
        <v>0.01</v>
      </c>
      <c r="BC50" s="25">
        <f t="shared" si="21"/>
        <v>4.4540816121642124E-4</v>
      </c>
      <c r="BD50" s="25">
        <f t="shared" si="22"/>
        <v>4.4540816121642124E-4</v>
      </c>
      <c r="BF50" s="20">
        <f t="shared" si="32"/>
        <v>455</v>
      </c>
      <c r="BG50" s="20">
        <f t="shared" si="32"/>
        <v>0</v>
      </c>
      <c r="BH50" s="25">
        <f>VLOOKUP(BF50,'Hazard Weighting Functions'!$B$5:$G$1205,4,FALSE)</f>
        <v>9</v>
      </c>
      <c r="BI50" s="25">
        <f t="shared" si="24"/>
        <v>0</v>
      </c>
      <c r="BJ50" s="25">
        <f t="shared" si="25"/>
        <v>0</v>
      </c>
      <c r="BK50" s="1">
        <f t="shared" si="5"/>
        <v>342</v>
      </c>
      <c r="BL50" s="20">
        <f t="shared" si="5"/>
        <v>8.3700061754479915E-2</v>
      </c>
      <c r="BM50" s="25">
        <f>VLOOKUP(BK50,'Hazard Weighting Functions'!$B$5:$G$1205,4,FALSE)</f>
        <v>0</v>
      </c>
      <c r="BN50" s="25">
        <f t="shared" si="26"/>
        <v>0</v>
      </c>
      <c r="BO50" s="25">
        <f t="shared" si="27"/>
        <v>0</v>
      </c>
      <c r="BP50" s="20">
        <f t="shared" si="6"/>
        <v>342</v>
      </c>
      <c r="BQ50" s="20">
        <f t="shared" si="6"/>
        <v>4.4540816121642124E-2</v>
      </c>
      <c r="BR50" s="25">
        <f>VLOOKUP(BP50,'Hazard Weighting Functions'!$B$5:$G$1205,4,FALSE)</f>
        <v>0</v>
      </c>
      <c r="BS50" s="25">
        <f t="shared" si="28"/>
        <v>0</v>
      </c>
      <c r="BT50" s="25">
        <f t="shared" si="29"/>
        <v>0</v>
      </c>
      <c r="BV50" s="25">
        <f>VLOOKUP(BK50,'Hazard Weighting Functions'!$B$5:$G$1205,5,FALSE)</f>
        <v>0</v>
      </c>
      <c r="BW50" s="25">
        <f t="shared" si="30"/>
        <v>0</v>
      </c>
      <c r="BX50" s="25">
        <f t="shared" si="31"/>
        <v>0</v>
      </c>
    </row>
    <row r="51" spans="2:76">
      <c r="B51" s="25">
        <v>244</v>
      </c>
      <c r="C51" s="36">
        <v>7.6948406891044362E-4</v>
      </c>
      <c r="E51" s="25">
        <v>244</v>
      </c>
      <c r="F51" s="36"/>
      <c r="H51" s="25">
        <v>244</v>
      </c>
      <c r="I51" s="36"/>
      <c r="K51" s="25">
        <v>1110</v>
      </c>
      <c r="L51" s="36"/>
      <c r="N51" s="25">
        <v>344</v>
      </c>
      <c r="O51" s="36">
        <v>8.2259234187167546E-2</v>
      </c>
      <c r="Q51" s="25">
        <v>344</v>
      </c>
      <c r="R51" s="36">
        <v>0</v>
      </c>
      <c r="T51" s="25">
        <f>AVERAGE(T29:T49)</f>
        <v>0</v>
      </c>
      <c r="V51" s="25">
        <f t="shared" si="8"/>
        <v>244</v>
      </c>
      <c r="W51" s="25">
        <f t="shared" si="8"/>
        <v>7.6948406891044362E-4</v>
      </c>
      <c r="Y51" s="25">
        <f t="shared" si="9"/>
        <v>244</v>
      </c>
      <c r="Z51" s="25">
        <f t="shared" si="9"/>
        <v>7.6948406891044362E-4</v>
      </c>
      <c r="AA51" s="25">
        <f>VLOOKUP(Y51,'Hazard Weighting Functions'!$B$5:$G$1205,2,FALSE)</f>
        <v>0.34710000000000002</v>
      </c>
      <c r="AB51" s="25">
        <f t="shared" si="10"/>
        <v>2.6708792031881497E-4</v>
      </c>
      <c r="AC51" s="25">
        <f t="shared" si="11"/>
        <v>1.5100713994625787E-3</v>
      </c>
      <c r="AE51" s="25">
        <f>VLOOKUP(Y51,'Hazard Weighting Functions'!$B$5:$G$1205,3,FALSE)</f>
        <v>0</v>
      </c>
      <c r="AF51" s="25">
        <f t="shared" si="12"/>
        <v>0</v>
      </c>
      <c r="AG51" s="25">
        <f t="shared" si="13"/>
        <v>0</v>
      </c>
      <c r="AH51" s="25">
        <f>VLOOKUP(Y51,'Hazard Weighting Functions'!$B$5:$G$1205,5,FALSE)</f>
        <v>0</v>
      </c>
      <c r="AI51" s="25">
        <f t="shared" si="14"/>
        <v>0</v>
      </c>
      <c r="AJ51" s="25">
        <f t="shared" si="15"/>
        <v>0</v>
      </c>
      <c r="AP51" s="20">
        <f>'IEC_EN62471- LED non-GLS'!E101</f>
        <v>344</v>
      </c>
      <c r="AQ51" s="20">
        <f t="shared" si="16"/>
        <v>3.3625977256617361E-2</v>
      </c>
      <c r="AR51" s="25">
        <f>VLOOKUP(AP51,'Hazard Weighting Functions'!$B$5:$G$1205,3,FALSE)</f>
        <v>0.01</v>
      </c>
      <c r="AS51" s="25">
        <f t="shared" si="17"/>
        <v>3.3625977256617363E-4</v>
      </c>
      <c r="AT51" s="25">
        <f t="shared" si="18"/>
        <v>7.4572529148266269E-4</v>
      </c>
      <c r="AU51" s="20">
        <f t="shared" si="7"/>
        <v>344</v>
      </c>
      <c r="AV51" s="25">
        <f>O51</f>
        <v>8.2259234187167546E-2</v>
      </c>
      <c r="AW51" s="25">
        <f>VLOOKUP(AU51,'Hazard Weighting Functions'!$B$5:$G$1205,3,FALSE)</f>
        <v>0.01</v>
      </c>
      <c r="AX51" s="25">
        <f t="shared" si="19"/>
        <v>8.2259234187167553E-4</v>
      </c>
      <c r="AY51" s="25">
        <f t="shared" si="20"/>
        <v>1.5897243465659893E-3</v>
      </c>
      <c r="AZ51" s="20">
        <f t="shared" si="2"/>
        <v>344</v>
      </c>
      <c r="BA51" s="20">
        <f t="shared" si="2"/>
        <v>0</v>
      </c>
      <c r="BB51" s="25">
        <f>VLOOKUP(AZ51,'Hazard Weighting Functions'!$B$5:$G$1205,3,FALSE)</f>
        <v>0.01</v>
      </c>
      <c r="BC51" s="25">
        <f t="shared" si="21"/>
        <v>0</v>
      </c>
      <c r="BD51" s="25">
        <f t="shared" si="22"/>
        <v>0</v>
      </c>
      <c r="BF51" s="20">
        <f t="shared" si="32"/>
        <v>460</v>
      </c>
      <c r="BG51" s="20">
        <f t="shared" si="32"/>
        <v>0</v>
      </c>
      <c r="BH51" s="25">
        <f>VLOOKUP(BF51,'Hazard Weighting Functions'!$B$5:$G$1205,4,FALSE)</f>
        <v>8</v>
      </c>
      <c r="BI51" s="25">
        <f t="shared" si="24"/>
        <v>0</v>
      </c>
      <c r="BJ51" s="25">
        <f t="shared" si="25"/>
        <v>0</v>
      </c>
      <c r="BK51" s="1">
        <f t="shared" si="5"/>
        <v>344</v>
      </c>
      <c r="BL51" s="20">
        <f t="shared" si="5"/>
        <v>8.2259234187167546E-2</v>
      </c>
      <c r="BM51" s="25">
        <f>VLOOKUP(BK51,'Hazard Weighting Functions'!$B$5:$G$1205,4,FALSE)</f>
        <v>0</v>
      </c>
      <c r="BN51" s="25">
        <f t="shared" si="26"/>
        <v>0</v>
      </c>
      <c r="BO51" s="25">
        <f t="shared" si="27"/>
        <v>0</v>
      </c>
      <c r="BP51" s="20">
        <f t="shared" si="6"/>
        <v>344</v>
      </c>
      <c r="BQ51" s="20">
        <f t="shared" si="6"/>
        <v>0</v>
      </c>
      <c r="BR51" s="25">
        <f>VLOOKUP(BP51,'Hazard Weighting Functions'!$B$5:$G$1205,4,FALSE)</f>
        <v>0</v>
      </c>
      <c r="BS51" s="25">
        <f t="shared" si="28"/>
        <v>0</v>
      </c>
      <c r="BT51" s="25">
        <f t="shared" si="29"/>
        <v>0</v>
      </c>
      <c r="BV51" s="25">
        <f>VLOOKUP(BK51,'Hazard Weighting Functions'!$B$5:$G$1205,5,FALSE)</f>
        <v>0</v>
      </c>
      <c r="BW51" s="25">
        <f t="shared" si="30"/>
        <v>0</v>
      </c>
      <c r="BX51" s="25">
        <f t="shared" si="31"/>
        <v>0</v>
      </c>
    </row>
    <row r="52" spans="2:76">
      <c r="B52" s="25">
        <v>246</v>
      </c>
      <c r="C52" s="36">
        <v>3.332395386444407E-3</v>
      </c>
      <c r="E52" s="25">
        <v>246</v>
      </c>
      <c r="F52" s="36"/>
      <c r="H52" s="25">
        <v>246</v>
      </c>
      <c r="I52" s="36"/>
      <c r="K52" s="25">
        <v>1115</v>
      </c>
      <c r="L52" s="36"/>
      <c r="N52" s="25">
        <v>346</v>
      </c>
      <c r="O52" s="36">
        <v>7.6713200469431364E-2</v>
      </c>
      <c r="Q52" s="25">
        <v>346</v>
      </c>
      <c r="R52" s="36">
        <v>0</v>
      </c>
      <c r="V52" s="25">
        <f t="shared" si="8"/>
        <v>246</v>
      </c>
      <c r="W52" s="25">
        <f t="shared" si="8"/>
        <v>3.332395386444407E-3</v>
      </c>
      <c r="Y52" s="25">
        <f t="shared" si="9"/>
        <v>246</v>
      </c>
      <c r="Z52" s="25">
        <f t="shared" si="9"/>
        <v>3.332395386444407E-3</v>
      </c>
      <c r="AA52" s="25">
        <f>VLOOKUP(Y52,'Hazard Weighting Functions'!$B$5:$G$1205,2,FALSE)</f>
        <v>0.373</v>
      </c>
      <c r="AB52" s="25">
        <f t="shared" si="10"/>
        <v>1.2429834791437637E-3</v>
      </c>
      <c r="AC52" s="25">
        <f t="shared" si="11"/>
        <v>1.2429834791437637E-3</v>
      </c>
      <c r="AE52" s="25">
        <f>VLOOKUP(Y52,'Hazard Weighting Functions'!$B$5:$G$1205,3,FALSE)</f>
        <v>0</v>
      </c>
      <c r="AF52" s="25">
        <f t="shared" si="12"/>
        <v>0</v>
      </c>
      <c r="AG52" s="25">
        <f t="shared" si="13"/>
        <v>0</v>
      </c>
      <c r="AH52" s="25">
        <f>VLOOKUP(Y52,'Hazard Weighting Functions'!$B$5:$G$1205,5,FALSE)</f>
        <v>0</v>
      </c>
      <c r="AI52" s="25">
        <f t="shared" si="14"/>
        <v>0</v>
      </c>
      <c r="AJ52" s="25">
        <f t="shared" si="15"/>
        <v>0</v>
      </c>
      <c r="AP52" s="20">
        <f>'IEC_EN62471- LED non-GLS'!E102</f>
        <v>346</v>
      </c>
      <c r="AQ52" s="20">
        <f t="shared" si="16"/>
        <v>4.0946551891648905E-2</v>
      </c>
      <c r="AR52" s="25">
        <f>VLOOKUP(AP52,'Hazard Weighting Functions'!$B$5:$G$1205,3,FALSE)</f>
        <v>0.01</v>
      </c>
      <c r="AS52" s="25">
        <f t="shared" si="17"/>
        <v>4.0946551891648907E-4</v>
      </c>
      <c r="AT52" s="25">
        <f t="shared" si="18"/>
        <v>8.3341520656066636E-4</v>
      </c>
      <c r="AU52" s="20">
        <f t="shared" si="7"/>
        <v>346</v>
      </c>
      <c r="AV52" s="25">
        <f>O52</f>
        <v>7.6713200469431364E-2</v>
      </c>
      <c r="AW52" s="25">
        <f>VLOOKUP(AU52,'Hazard Weighting Functions'!$B$5:$G$1205,3,FALSE)</f>
        <v>0.01</v>
      </c>
      <c r="AX52" s="25">
        <f t="shared" si="19"/>
        <v>7.6713200469431364E-4</v>
      </c>
      <c r="AY52" s="25">
        <f t="shared" si="20"/>
        <v>1.5163854288316948E-3</v>
      </c>
      <c r="AZ52" s="20">
        <f t="shared" si="2"/>
        <v>346</v>
      </c>
      <c r="BA52" s="20">
        <f t="shared" si="2"/>
        <v>0</v>
      </c>
      <c r="BB52" s="25">
        <f>VLOOKUP(AZ52,'Hazard Weighting Functions'!$B$5:$G$1205,3,FALSE)</f>
        <v>0.01</v>
      </c>
      <c r="BC52" s="25">
        <f t="shared" si="21"/>
        <v>0</v>
      </c>
      <c r="BD52" s="25">
        <f t="shared" si="22"/>
        <v>1.8562430855041359E-3</v>
      </c>
      <c r="BF52" s="20">
        <f t="shared" si="32"/>
        <v>465</v>
      </c>
      <c r="BG52" s="20">
        <f t="shared" si="32"/>
        <v>0</v>
      </c>
      <c r="BH52" s="25">
        <f>VLOOKUP(BF52,'Hazard Weighting Functions'!$B$5:$G$1205,4,FALSE)</f>
        <v>7</v>
      </c>
      <c r="BI52" s="25">
        <f t="shared" si="24"/>
        <v>0</v>
      </c>
      <c r="BJ52" s="25">
        <f t="shared" si="25"/>
        <v>0</v>
      </c>
      <c r="BK52" s="1">
        <f t="shared" si="5"/>
        <v>346</v>
      </c>
      <c r="BL52" s="20">
        <f t="shared" si="5"/>
        <v>7.6713200469431364E-2</v>
      </c>
      <c r="BM52" s="25">
        <f>VLOOKUP(BK52,'Hazard Weighting Functions'!$B$5:$G$1205,4,FALSE)</f>
        <v>0</v>
      </c>
      <c r="BN52" s="25">
        <f t="shared" si="26"/>
        <v>0</v>
      </c>
      <c r="BO52" s="25">
        <f t="shared" si="27"/>
        <v>0</v>
      </c>
      <c r="BP52" s="20">
        <f t="shared" si="6"/>
        <v>346</v>
      </c>
      <c r="BQ52" s="20">
        <f t="shared" si="6"/>
        <v>0</v>
      </c>
      <c r="BR52" s="25">
        <f>VLOOKUP(BP52,'Hazard Weighting Functions'!$B$5:$G$1205,4,FALSE)</f>
        <v>0</v>
      </c>
      <c r="BS52" s="25">
        <f t="shared" si="28"/>
        <v>0</v>
      </c>
      <c r="BT52" s="25">
        <f t="shared" si="29"/>
        <v>0</v>
      </c>
      <c r="BV52" s="25">
        <f>VLOOKUP(BK52,'Hazard Weighting Functions'!$B$5:$G$1205,5,FALSE)</f>
        <v>0</v>
      </c>
      <c r="BW52" s="25">
        <f t="shared" si="30"/>
        <v>0</v>
      </c>
      <c r="BX52" s="25">
        <f t="shared" si="31"/>
        <v>0</v>
      </c>
    </row>
    <row r="53" spans="2:76">
      <c r="B53" s="25">
        <v>248</v>
      </c>
      <c r="C53" s="36">
        <v>0</v>
      </c>
      <c r="E53" s="25">
        <v>248</v>
      </c>
      <c r="F53" s="36"/>
      <c r="H53" s="25">
        <v>248</v>
      </c>
      <c r="I53" s="36"/>
      <c r="K53" s="25">
        <v>1120</v>
      </c>
      <c r="L53" s="36"/>
      <c r="N53" s="25">
        <v>348</v>
      </c>
      <c r="O53" s="36">
        <v>7.4925342413738105E-2</v>
      </c>
      <c r="Q53" s="25">
        <v>348</v>
      </c>
      <c r="R53" s="36">
        <v>0.18562430855041359</v>
      </c>
      <c r="V53" s="25">
        <f t="shared" si="8"/>
        <v>248</v>
      </c>
      <c r="W53" s="25">
        <f t="shared" si="8"/>
        <v>0</v>
      </c>
      <c r="Y53" s="25">
        <f t="shared" si="9"/>
        <v>248</v>
      </c>
      <c r="Z53" s="25">
        <f t="shared" si="9"/>
        <v>0</v>
      </c>
      <c r="AA53" s="25">
        <f>VLOOKUP(Y53,'Hazard Weighting Functions'!$B$5:$G$1205,2,FALSE)</f>
        <v>0.40050000000000002</v>
      </c>
      <c r="AB53" s="25">
        <f t="shared" si="10"/>
        <v>0</v>
      </c>
      <c r="AC53" s="25">
        <f t="shared" si="11"/>
        <v>2.4203325072957404E-3</v>
      </c>
      <c r="AE53" s="25">
        <f>VLOOKUP(Y53,'Hazard Weighting Functions'!$B$5:$G$1205,3,FALSE)</f>
        <v>0</v>
      </c>
      <c r="AF53" s="25">
        <f t="shared" si="12"/>
        <v>0</v>
      </c>
      <c r="AG53" s="25">
        <f t="shared" si="13"/>
        <v>0</v>
      </c>
      <c r="AH53" s="25">
        <f>VLOOKUP(Y53,'Hazard Weighting Functions'!$B$5:$G$1205,5,FALSE)</f>
        <v>0</v>
      </c>
      <c r="AI53" s="25">
        <f t="shared" si="14"/>
        <v>0</v>
      </c>
      <c r="AJ53" s="25">
        <f t="shared" si="15"/>
        <v>0</v>
      </c>
      <c r="AP53" s="20">
        <f>'IEC_EN62471- LED non-GLS'!E103</f>
        <v>348</v>
      </c>
      <c r="AQ53" s="20">
        <f t="shared" si="16"/>
        <v>4.2394968764417729E-2</v>
      </c>
      <c r="AR53" s="25">
        <f>VLOOKUP(AP53,'Hazard Weighting Functions'!$B$5:$G$1205,3,FALSE)</f>
        <v>0.01</v>
      </c>
      <c r="AS53" s="25">
        <f t="shared" si="17"/>
        <v>4.2394968764417729E-4</v>
      </c>
      <c r="AT53" s="25">
        <f t="shared" si="18"/>
        <v>9.5896233599219159E-4</v>
      </c>
      <c r="AU53" s="20">
        <f t="shared" si="7"/>
        <v>348</v>
      </c>
      <c r="AV53" s="25">
        <f>O53</f>
        <v>7.4925342413738105E-2</v>
      </c>
      <c r="AW53" s="25">
        <f>VLOOKUP(AU53,'Hazard Weighting Functions'!$B$5:$G$1205,3,FALSE)</f>
        <v>0.01</v>
      </c>
      <c r="AX53" s="25">
        <f t="shared" si="19"/>
        <v>7.492534241373811E-4</v>
      </c>
      <c r="AY53" s="25">
        <f t="shared" si="20"/>
        <v>1.4127488691945641E-3</v>
      </c>
      <c r="AZ53" s="20">
        <f t="shared" si="2"/>
        <v>348</v>
      </c>
      <c r="BA53" s="20">
        <f t="shared" si="2"/>
        <v>0.18562430855041359</v>
      </c>
      <c r="BB53" s="25">
        <f>VLOOKUP(AZ53,'Hazard Weighting Functions'!$B$5:$G$1205,3,FALSE)</f>
        <v>0.01</v>
      </c>
      <c r="BC53" s="25">
        <f t="shared" si="21"/>
        <v>1.8562430855041359E-3</v>
      </c>
      <c r="BD53" s="25">
        <f t="shared" si="22"/>
        <v>4.874746853974596E-3</v>
      </c>
      <c r="BF53" s="20">
        <f t="shared" si="32"/>
        <v>470</v>
      </c>
      <c r="BG53" s="20">
        <f t="shared" si="32"/>
        <v>0</v>
      </c>
      <c r="BH53" s="25">
        <f>VLOOKUP(BF53,'Hazard Weighting Functions'!$B$5:$G$1205,4,FALSE)</f>
        <v>6.2</v>
      </c>
      <c r="BI53" s="25">
        <f t="shared" si="24"/>
        <v>0</v>
      </c>
      <c r="BJ53" s="25">
        <f t="shared" si="25"/>
        <v>0</v>
      </c>
      <c r="BK53" s="1">
        <f t="shared" si="5"/>
        <v>348</v>
      </c>
      <c r="BL53" s="20">
        <f t="shared" si="5"/>
        <v>7.4925342413738105E-2</v>
      </c>
      <c r="BM53" s="25">
        <f>VLOOKUP(BK53,'Hazard Weighting Functions'!$B$5:$G$1205,4,FALSE)</f>
        <v>0</v>
      </c>
      <c r="BN53" s="25">
        <f t="shared" si="26"/>
        <v>0</v>
      </c>
      <c r="BO53" s="25">
        <f t="shared" si="27"/>
        <v>0</v>
      </c>
      <c r="BP53" s="20">
        <f t="shared" si="6"/>
        <v>348</v>
      </c>
      <c r="BQ53" s="20">
        <f t="shared" si="6"/>
        <v>0.18562430855041359</v>
      </c>
      <c r="BR53" s="25">
        <f>VLOOKUP(BP53,'Hazard Weighting Functions'!$B$5:$G$1205,4,FALSE)</f>
        <v>0</v>
      </c>
      <c r="BS53" s="25">
        <f t="shared" si="28"/>
        <v>0</v>
      </c>
      <c r="BT53" s="25">
        <f t="shared" si="29"/>
        <v>0</v>
      </c>
      <c r="BV53" s="25">
        <f>VLOOKUP(BK53,'Hazard Weighting Functions'!$B$5:$G$1205,5,FALSE)</f>
        <v>0</v>
      </c>
      <c r="BW53" s="25">
        <f t="shared" si="30"/>
        <v>0</v>
      </c>
      <c r="BX53" s="25">
        <f t="shared" si="31"/>
        <v>0</v>
      </c>
    </row>
    <row r="54" spans="2:76">
      <c r="B54" s="25">
        <v>250</v>
      </c>
      <c r="C54" s="36">
        <v>5.6286802495249776E-3</v>
      </c>
      <c r="E54" s="25">
        <v>250</v>
      </c>
      <c r="F54" s="36"/>
      <c r="H54" s="25">
        <v>250</v>
      </c>
      <c r="I54" s="36"/>
      <c r="K54" s="25">
        <v>1125</v>
      </c>
      <c r="L54" s="36"/>
      <c r="N54" s="25">
        <v>350</v>
      </c>
      <c r="O54" s="36">
        <v>6.6349544505718297E-2</v>
      </c>
      <c r="Q54" s="25">
        <v>350</v>
      </c>
      <c r="R54" s="36">
        <v>0.30185037684704602</v>
      </c>
      <c r="V54" s="25">
        <f t="shared" si="8"/>
        <v>250</v>
      </c>
      <c r="W54" s="25">
        <f t="shared" si="8"/>
        <v>5.6286802495249776E-3</v>
      </c>
      <c r="Y54" s="25">
        <f t="shared" si="9"/>
        <v>250</v>
      </c>
      <c r="Z54" s="25">
        <f t="shared" si="9"/>
        <v>5.6286802495249776E-3</v>
      </c>
      <c r="AA54" s="25">
        <f>VLOOKUP(Y54,'Hazard Weighting Functions'!$B$5:$G$1205,2,FALSE)</f>
        <v>0.43</v>
      </c>
      <c r="AB54" s="25">
        <f t="shared" si="10"/>
        <v>2.4203325072957404E-3</v>
      </c>
      <c r="AC54" s="25">
        <f t="shared" si="11"/>
        <v>5.7809335688023466E-3</v>
      </c>
      <c r="AE54" s="25">
        <f>VLOOKUP(Y54,'Hazard Weighting Functions'!$B$5:$G$1205,3,FALSE)</f>
        <v>0</v>
      </c>
      <c r="AF54" s="25">
        <f t="shared" si="12"/>
        <v>0</v>
      </c>
      <c r="AG54" s="25">
        <f t="shared" si="13"/>
        <v>0</v>
      </c>
      <c r="AH54" s="25">
        <f>VLOOKUP(Y54,'Hazard Weighting Functions'!$B$5:$G$1205,5,FALSE)</f>
        <v>0</v>
      </c>
      <c r="AI54" s="25">
        <f t="shared" si="14"/>
        <v>0</v>
      </c>
      <c r="AJ54" s="25">
        <f t="shared" si="15"/>
        <v>0</v>
      </c>
      <c r="AP54" s="20">
        <f>'IEC_EN62471- LED non-GLS'!E104</f>
        <v>350</v>
      </c>
      <c r="AQ54" s="20">
        <f t="shared" si="16"/>
        <v>5.3501264834801422E-2</v>
      </c>
      <c r="AR54" s="25">
        <f>VLOOKUP(AP54,'Hazard Weighting Functions'!$B$5:$G$1205,3,FALSE)</f>
        <v>0.01</v>
      </c>
      <c r="AS54" s="25">
        <f t="shared" si="17"/>
        <v>5.3501264834801424E-4</v>
      </c>
      <c r="AT54" s="25">
        <f t="shared" si="18"/>
        <v>1.1202609190206229E-3</v>
      </c>
      <c r="AU54" s="20">
        <f t="shared" si="7"/>
        <v>350</v>
      </c>
      <c r="AV54" s="25">
        <f>O54</f>
        <v>6.6349544505718297E-2</v>
      </c>
      <c r="AW54" s="25">
        <f>VLOOKUP(AU54,'Hazard Weighting Functions'!$B$5:$G$1205,3,FALSE)</f>
        <v>0.01</v>
      </c>
      <c r="AX54" s="25">
        <f t="shared" si="19"/>
        <v>6.63495445057183E-4</v>
      </c>
      <c r="AY54" s="25">
        <f t="shared" si="20"/>
        <v>1.2175248311621025E-3</v>
      </c>
      <c r="AZ54" s="20">
        <f t="shared" si="2"/>
        <v>350</v>
      </c>
      <c r="BA54" s="20">
        <f t="shared" si="2"/>
        <v>0.30185037684704602</v>
      </c>
      <c r="BB54" s="25">
        <f>VLOOKUP(AZ54,'Hazard Weighting Functions'!$B$5:$G$1205,3,FALSE)</f>
        <v>0.01</v>
      </c>
      <c r="BC54" s="25">
        <f t="shared" si="21"/>
        <v>3.0185037684704601E-3</v>
      </c>
      <c r="BD54" s="25">
        <f t="shared" si="22"/>
        <v>3.0185037684704601E-3</v>
      </c>
      <c r="BF54" s="20">
        <f t="shared" si="32"/>
        <v>475</v>
      </c>
      <c r="BG54" s="20">
        <f t="shared" si="32"/>
        <v>0</v>
      </c>
      <c r="BH54" s="25">
        <f>VLOOKUP(BF54,'Hazard Weighting Functions'!$B$5:$G$1205,4,FALSE)</f>
        <v>5.5</v>
      </c>
      <c r="BI54" s="25">
        <f t="shared" si="24"/>
        <v>0</v>
      </c>
      <c r="BJ54" s="25">
        <f t="shared" si="25"/>
        <v>0</v>
      </c>
      <c r="BK54" s="1">
        <f t="shared" si="5"/>
        <v>350</v>
      </c>
      <c r="BL54" s="20">
        <f t="shared" si="5"/>
        <v>6.6349544505718297E-2</v>
      </c>
      <c r="BM54" s="25">
        <f>VLOOKUP(BK54,'Hazard Weighting Functions'!$B$5:$G$1205,4,FALSE)</f>
        <v>0</v>
      </c>
      <c r="BN54" s="25">
        <f t="shared" si="26"/>
        <v>0</v>
      </c>
      <c r="BO54" s="25">
        <f t="shared" si="27"/>
        <v>0</v>
      </c>
      <c r="BP54" s="20">
        <f t="shared" si="6"/>
        <v>350</v>
      </c>
      <c r="BQ54" s="20">
        <f t="shared" si="6"/>
        <v>0.30185037684704602</v>
      </c>
      <c r="BR54" s="25">
        <f>VLOOKUP(BP54,'Hazard Weighting Functions'!$B$5:$G$1205,4,FALSE)</f>
        <v>0</v>
      </c>
      <c r="BS54" s="25">
        <f t="shared" si="28"/>
        <v>0</v>
      </c>
      <c r="BT54" s="25">
        <f t="shared" si="29"/>
        <v>0</v>
      </c>
      <c r="BV54" s="25">
        <f>VLOOKUP(BK54,'Hazard Weighting Functions'!$B$5:$G$1205,5,FALSE)</f>
        <v>0</v>
      </c>
      <c r="BW54" s="25">
        <f t="shared" si="30"/>
        <v>0</v>
      </c>
      <c r="BX54" s="25">
        <f t="shared" si="31"/>
        <v>0</v>
      </c>
    </row>
    <row r="55" spans="2:76">
      <c r="B55" s="25">
        <v>252</v>
      </c>
      <c r="C55" s="36">
        <v>7.2473604949463153E-3</v>
      </c>
      <c r="E55" s="25">
        <v>252</v>
      </c>
      <c r="F55" s="36"/>
      <c r="H55" s="25">
        <v>252</v>
      </c>
      <c r="I55" s="36"/>
      <c r="K55" s="25">
        <v>1130</v>
      </c>
      <c r="L55" s="36"/>
      <c r="N55" s="25">
        <v>352</v>
      </c>
      <c r="O55" s="36">
        <v>5.5402938610491941E-2</v>
      </c>
      <c r="Q55" s="25">
        <v>352</v>
      </c>
      <c r="R55" s="36">
        <v>0</v>
      </c>
      <c r="V55" s="25">
        <f t="shared" si="8"/>
        <v>252</v>
      </c>
      <c r="W55" s="25">
        <f t="shared" si="8"/>
        <v>7.2473604949463153E-3</v>
      </c>
      <c r="Y55" s="25">
        <f t="shared" si="9"/>
        <v>252</v>
      </c>
      <c r="Z55" s="25">
        <f t="shared" si="9"/>
        <v>7.2473604949463153E-3</v>
      </c>
      <c r="AA55" s="25">
        <f>VLOOKUP(Y55,'Hazard Weighting Functions'!$B$5:$G$1205,2,FALSE)</f>
        <v>0.4637</v>
      </c>
      <c r="AB55" s="25">
        <f t="shared" si="10"/>
        <v>3.3606010615066062E-3</v>
      </c>
      <c r="AC55" s="25">
        <f t="shared" si="11"/>
        <v>3.680198462461729E-3</v>
      </c>
      <c r="AE55" s="25">
        <f>VLOOKUP(Y55,'Hazard Weighting Functions'!$B$5:$G$1205,3,FALSE)</f>
        <v>0</v>
      </c>
      <c r="AF55" s="25">
        <f t="shared" si="12"/>
        <v>0</v>
      </c>
      <c r="AG55" s="25">
        <f t="shared" si="13"/>
        <v>0</v>
      </c>
      <c r="AH55" s="25">
        <f>VLOOKUP(Y55,'Hazard Weighting Functions'!$B$5:$G$1205,5,FALSE)</f>
        <v>0</v>
      </c>
      <c r="AI55" s="25">
        <f t="shared" si="14"/>
        <v>0</v>
      </c>
      <c r="AJ55" s="25">
        <f t="shared" si="15"/>
        <v>0</v>
      </c>
      <c r="AP55" s="20">
        <f>'IEC_EN62471- LED non-GLS'!E105</f>
        <v>352</v>
      </c>
      <c r="AQ55" s="20">
        <f t="shared" si="16"/>
        <v>5.8524827067260865E-2</v>
      </c>
      <c r="AR55" s="25">
        <f>VLOOKUP(AP55,'Hazard Weighting Functions'!$B$5:$G$1205,3,FALSE)</f>
        <v>0.01</v>
      </c>
      <c r="AS55" s="25">
        <f t="shared" si="17"/>
        <v>5.8524827067260869E-4</v>
      </c>
      <c r="AT55" s="25">
        <f t="shared" si="18"/>
        <v>1.2711004248130023E-3</v>
      </c>
      <c r="AU55" s="20">
        <f t="shared" si="7"/>
        <v>352</v>
      </c>
      <c r="AV55" s="25">
        <f>O55</f>
        <v>5.5402938610491941E-2</v>
      </c>
      <c r="AW55" s="25">
        <f>VLOOKUP(AU55,'Hazard Weighting Functions'!$B$5:$G$1205,3,FALSE)</f>
        <v>0.01</v>
      </c>
      <c r="AX55" s="25">
        <f t="shared" si="19"/>
        <v>5.5402938610491946E-4</v>
      </c>
      <c r="AY55" s="25">
        <f t="shared" si="20"/>
        <v>1.0631142174365345E-3</v>
      </c>
      <c r="AZ55" s="20">
        <f t="shared" si="2"/>
        <v>352</v>
      </c>
      <c r="BA55" s="20">
        <f t="shared" si="2"/>
        <v>0</v>
      </c>
      <c r="BB55" s="25">
        <f>VLOOKUP(AZ55,'Hazard Weighting Functions'!$B$5:$G$1205,3,FALSE)</f>
        <v>0.01</v>
      </c>
      <c r="BC55" s="25">
        <f t="shared" si="21"/>
        <v>0</v>
      </c>
      <c r="BD55" s="25">
        <f t="shared" si="22"/>
        <v>0</v>
      </c>
      <c r="BF55" s="20">
        <f t="shared" si="32"/>
        <v>480</v>
      </c>
      <c r="BG55" s="20">
        <f t="shared" si="32"/>
        <v>0</v>
      </c>
      <c r="BH55" s="25">
        <f>VLOOKUP(BF55,'Hazard Weighting Functions'!$B$5:$G$1205,4,FALSE)</f>
        <v>4.5</v>
      </c>
      <c r="BI55" s="25">
        <f t="shared" si="24"/>
        <v>0</v>
      </c>
      <c r="BJ55" s="25">
        <f t="shared" si="25"/>
        <v>0</v>
      </c>
      <c r="BK55" s="1">
        <f t="shared" si="5"/>
        <v>352</v>
      </c>
      <c r="BL55" s="20">
        <f t="shared" si="5"/>
        <v>5.5402938610491941E-2</v>
      </c>
      <c r="BM55" s="25">
        <f>VLOOKUP(BK55,'Hazard Weighting Functions'!$B$5:$G$1205,4,FALSE)</f>
        <v>0</v>
      </c>
      <c r="BN55" s="25">
        <f t="shared" si="26"/>
        <v>0</v>
      </c>
      <c r="BO55" s="25">
        <f t="shared" si="27"/>
        <v>0</v>
      </c>
      <c r="BP55" s="20">
        <f t="shared" si="6"/>
        <v>352</v>
      </c>
      <c r="BQ55" s="20">
        <f t="shared" si="6"/>
        <v>0</v>
      </c>
      <c r="BR55" s="25">
        <f>VLOOKUP(BP55,'Hazard Weighting Functions'!$B$5:$G$1205,4,FALSE)</f>
        <v>0</v>
      </c>
      <c r="BS55" s="25">
        <f t="shared" si="28"/>
        <v>0</v>
      </c>
      <c r="BT55" s="25">
        <f t="shared" si="29"/>
        <v>0</v>
      </c>
      <c r="BV55" s="25">
        <f>VLOOKUP(BK55,'Hazard Weighting Functions'!$B$5:$G$1205,5,FALSE)</f>
        <v>0</v>
      </c>
      <c r="BW55" s="25">
        <f t="shared" si="30"/>
        <v>0</v>
      </c>
      <c r="BX55" s="25">
        <f t="shared" si="31"/>
        <v>0</v>
      </c>
    </row>
    <row r="56" spans="2:76">
      <c r="B56" s="25">
        <v>254</v>
      </c>
      <c r="C56" s="36">
        <v>6.3919480191024539E-4</v>
      </c>
      <c r="E56" s="25">
        <v>254</v>
      </c>
      <c r="F56" s="36"/>
      <c r="H56" s="25">
        <v>254</v>
      </c>
      <c r="I56" s="36"/>
      <c r="K56" s="25">
        <v>1135</v>
      </c>
      <c r="L56" s="36"/>
      <c r="N56" s="25">
        <v>354</v>
      </c>
      <c r="O56" s="36">
        <v>5.0908483133161514E-2</v>
      </c>
      <c r="Q56" s="25">
        <v>354</v>
      </c>
      <c r="R56" s="36">
        <v>0</v>
      </c>
      <c r="V56" s="25">
        <f t="shared" si="8"/>
        <v>254</v>
      </c>
      <c r="W56" s="25">
        <f t="shared" si="8"/>
        <v>6.3919480191024539E-4</v>
      </c>
      <c r="Y56" s="25">
        <f t="shared" si="9"/>
        <v>254</v>
      </c>
      <c r="Z56" s="25">
        <f t="shared" si="9"/>
        <v>6.3919480191024539E-4</v>
      </c>
      <c r="AA56" s="25">
        <f>VLOOKUP(Y56,'Hazard Weighting Functions'!$B$5:$G$1205,2,FALSE)</f>
        <v>0.5</v>
      </c>
      <c r="AB56" s="25">
        <f t="shared" si="10"/>
        <v>3.195974009551227E-4</v>
      </c>
      <c r="AC56" s="25">
        <f t="shared" si="11"/>
        <v>2.4662933720381334E-3</v>
      </c>
      <c r="AE56" s="25">
        <f>VLOOKUP(Y56,'Hazard Weighting Functions'!$B$5:$G$1205,3,FALSE)</f>
        <v>0</v>
      </c>
      <c r="AF56" s="25">
        <f t="shared" si="12"/>
        <v>0</v>
      </c>
      <c r="AG56" s="25">
        <f t="shared" si="13"/>
        <v>0</v>
      </c>
      <c r="AH56" s="25">
        <f>VLOOKUP(Y56,'Hazard Weighting Functions'!$B$5:$G$1205,5,FALSE)</f>
        <v>0</v>
      </c>
      <c r="AI56" s="25">
        <f t="shared" si="14"/>
        <v>0</v>
      </c>
      <c r="AJ56" s="25">
        <f t="shared" si="15"/>
        <v>0</v>
      </c>
      <c r="AP56" s="20">
        <f>'IEC_EN62471- LED non-GLS'!E106</f>
        <v>354</v>
      </c>
      <c r="AQ56" s="20">
        <f t="shared" si="16"/>
        <v>6.8585215414039349E-2</v>
      </c>
      <c r="AR56" s="25">
        <f>VLOOKUP(AP56,'Hazard Weighting Functions'!$B$5:$G$1205,3,FALSE)</f>
        <v>0.01</v>
      </c>
      <c r="AS56" s="25">
        <f t="shared" si="17"/>
        <v>6.8585215414039352E-4</v>
      </c>
      <c r="AT56" s="25">
        <f t="shared" si="18"/>
        <v>1.3664606855198049E-3</v>
      </c>
      <c r="AU56" s="20">
        <f t="shared" si="7"/>
        <v>354</v>
      </c>
      <c r="AV56" s="25">
        <f>O56</f>
        <v>5.0908483133161514E-2</v>
      </c>
      <c r="AW56" s="25">
        <f>VLOOKUP(AU56,'Hazard Weighting Functions'!$B$5:$G$1205,3,FALSE)</f>
        <v>0.01</v>
      </c>
      <c r="AX56" s="25">
        <f t="shared" si="19"/>
        <v>5.0908483133161513E-4</v>
      </c>
      <c r="AY56" s="25">
        <f t="shared" si="20"/>
        <v>9.7007283273784189E-4</v>
      </c>
      <c r="AZ56" s="20">
        <f t="shared" si="2"/>
        <v>354</v>
      </c>
      <c r="BA56" s="20">
        <f t="shared" si="2"/>
        <v>0</v>
      </c>
      <c r="BB56" s="25">
        <f>VLOOKUP(AZ56,'Hazard Weighting Functions'!$B$5:$G$1205,3,FALSE)</f>
        <v>0.01</v>
      </c>
      <c r="BC56" s="25">
        <f t="shared" si="21"/>
        <v>0</v>
      </c>
      <c r="BD56" s="25">
        <f t="shared" si="22"/>
        <v>7.5014992696047445E-5</v>
      </c>
      <c r="BF56" s="20">
        <f t="shared" si="32"/>
        <v>485</v>
      </c>
      <c r="BG56" s="20">
        <f t="shared" si="32"/>
        <v>0</v>
      </c>
      <c r="BH56" s="25">
        <f>VLOOKUP(BF56,'Hazard Weighting Functions'!$B$5:$G$1205,4,FALSE)</f>
        <v>4</v>
      </c>
      <c r="BI56" s="25">
        <f t="shared" si="24"/>
        <v>0</v>
      </c>
      <c r="BJ56" s="25">
        <f t="shared" si="25"/>
        <v>0</v>
      </c>
      <c r="BK56" s="1">
        <f t="shared" si="5"/>
        <v>354</v>
      </c>
      <c r="BL56" s="20">
        <f t="shared" si="5"/>
        <v>5.0908483133161514E-2</v>
      </c>
      <c r="BM56" s="25">
        <f>VLOOKUP(BK56,'Hazard Weighting Functions'!$B$5:$G$1205,4,FALSE)</f>
        <v>0</v>
      </c>
      <c r="BN56" s="25">
        <f t="shared" si="26"/>
        <v>0</v>
      </c>
      <c r="BO56" s="25">
        <f t="shared" si="27"/>
        <v>0</v>
      </c>
      <c r="BP56" s="20">
        <f t="shared" si="6"/>
        <v>354</v>
      </c>
      <c r="BQ56" s="20">
        <f t="shared" si="6"/>
        <v>0</v>
      </c>
      <c r="BR56" s="25">
        <f>VLOOKUP(BP56,'Hazard Weighting Functions'!$B$5:$G$1205,4,FALSE)</f>
        <v>0</v>
      </c>
      <c r="BS56" s="25">
        <f t="shared" si="28"/>
        <v>0</v>
      </c>
      <c r="BT56" s="25">
        <f t="shared" si="29"/>
        <v>0</v>
      </c>
      <c r="BV56" s="25">
        <f>VLOOKUP(BK56,'Hazard Weighting Functions'!$B$5:$G$1205,5,FALSE)</f>
        <v>0</v>
      </c>
      <c r="BW56" s="25">
        <f t="shared" si="30"/>
        <v>0</v>
      </c>
      <c r="BX56" s="25">
        <f t="shared" si="31"/>
        <v>0</v>
      </c>
    </row>
    <row r="57" spans="2:76">
      <c r="B57" s="25">
        <v>256</v>
      </c>
      <c r="C57" s="36">
        <v>3.9483096764447506E-3</v>
      </c>
      <c r="E57" s="25">
        <v>256</v>
      </c>
      <c r="F57" s="36"/>
      <c r="H57" s="25">
        <v>256</v>
      </c>
      <c r="I57" s="36"/>
      <c r="K57" s="25">
        <v>1140</v>
      </c>
      <c r="L57" s="36"/>
      <c r="N57" s="25">
        <v>356</v>
      </c>
      <c r="O57" s="36">
        <v>4.6098800140622676E-2</v>
      </c>
      <c r="Q57" s="25">
        <v>356</v>
      </c>
      <c r="R57" s="36">
        <v>7.5014992696047448E-3</v>
      </c>
      <c r="V57" s="25">
        <f t="shared" si="8"/>
        <v>256</v>
      </c>
      <c r="W57" s="25">
        <f t="shared" si="8"/>
        <v>3.9483096764447506E-3</v>
      </c>
      <c r="Y57" s="25">
        <f t="shared" si="9"/>
        <v>256</v>
      </c>
      <c r="Z57" s="25">
        <f t="shared" si="9"/>
        <v>3.9483096764447506E-3</v>
      </c>
      <c r="AA57" s="25">
        <f>VLOOKUP(Y57,'Hazard Weighting Functions'!$B$5:$G$1205,2,FALSE)</f>
        <v>0.54369999999999996</v>
      </c>
      <c r="AB57" s="25">
        <f t="shared" si="10"/>
        <v>2.1466959710830106E-3</v>
      </c>
      <c r="AC57" s="25">
        <f t="shared" si="11"/>
        <v>2.1466959710830106E-3</v>
      </c>
      <c r="AE57" s="25">
        <f>VLOOKUP(Y57,'Hazard Weighting Functions'!$B$5:$G$1205,3,FALSE)</f>
        <v>0</v>
      </c>
      <c r="AF57" s="25">
        <f t="shared" si="12"/>
        <v>0</v>
      </c>
      <c r="AG57" s="25">
        <f t="shared" si="13"/>
        <v>0</v>
      </c>
      <c r="AH57" s="25">
        <f>VLOOKUP(Y57,'Hazard Weighting Functions'!$B$5:$G$1205,5,FALSE)</f>
        <v>0</v>
      </c>
      <c r="AI57" s="25">
        <f t="shared" si="14"/>
        <v>0</v>
      </c>
      <c r="AJ57" s="25">
        <f t="shared" si="15"/>
        <v>0</v>
      </c>
      <c r="AP57" s="20">
        <f>'IEC_EN62471- LED non-GLS'!E107</f>
        <v>356</v>
      </c>
      <c r="AQ57" s="20">
        <f t="shared" si="16"/>
        <v>6.8060853137941149E-2</v>
      </c>
      <c r="AR57" s="25">
        <f>VLOOKUP(AP57,'Hazard Weighting Functions'!$B$5:$G$1205,3,FALSE)</f>
        <v>0.01</v>
      </c>
      <c r="AS57" s="25">
        <f t="shared" si="17"/>
        <v>6.8060853137941147E-4</v>
      </c>
      <c r="AT57" s="25">
        <f t="shared" si="18"/>
        <v>1.3443858164349141E-3</v>
      </c>
      <c r="AU57" s="20">
        <f t="shared" si="7"/>
        <v>356</v>
      </c>
      <c r="AV57" s="25">
        <f>O57</f>
        <v>4.6098800140622676E-2</v>
      </c>
      <c r="AW57" s="25">
        <f>VLOOKUP(AU57,'Hazard Weighting Functions'!$B$5:$G$1205,3,FALSE)</f>
        <v>0.01</v>
      </c>
      <c r="AX57" s="25">
        <f t="shared" si="19"/>
        <v>4.6098800140622676E-4</v>
      </c>
      <c r="AY57" s="25">
        <f t="shared" si="20"/>
        <v>8.8720311178206519E-4</v>
      </c>
      <c r="AZ57" s="20">
        <f t="shared" si="2"/>
        <v>356</v>
      </c>
      <c r="BA57" s="20">
        <f t="shared" si="2"/>
        <v>7.5014992696047448E-3</v>
      </c>
      <c r="BB57" s="25">
        <f>VLOOKUP(AZ57,'Hazard Weighting Functions'!$B$5:$G$1205,3,FALSE)</f>
        <v>0.01</v>
      </c>
      <c r="BC57" s="25">
        <f t="shared" si="21"/>
        <v>7.5014992696047445E-5</v>
      </c>
      <c r="BD57" s="25">
        <f t="shared" si="22"/>
        <v>2.6351311441217282E-3</v>
      </c>
      <c r="BF57" s="20">
        <f t="shared" si="32"/>
        <v>490</v>
      </c>
      <c r="BG57" s="20">
        <f t="shared" si="32"/>
        <v>0</v>
      </c>
      <c r="BH57" s="25">
        <f>VLOOKUP(BF57,'Hazard Weighting Functions'!$B$5:$G$1205,4,FALSE)</f>
        <v>2.2000000000000002</v>
      </c>
      <c r="BI57" s="25">
        <f t="shared" si="24"/>
        <v>0</v>
      </c>
      <c r="BJ57" s="25">
        <f t="shared" si="25"/>
        <v>0</v>
      </c>
      <c r="BK57" s="1">
        <f t="shared" si="5"/>
        <v>356</v>
      </c>
      <c r="BL57" s="20">
        <f t="shared" si="5"/>
        <v>4.6098800140622676E-2</v>
      </c>
      <c r="BM57" s="25">
        <f>VLOOKUP(BK57,'Hazard Weighting Functions'!$B$5:$G$1205,4,FALSE)</f>
        <v>0</v>
      </c>
      <c r="BN57" s="25">
        <f t="shared" si="26"/>
        <v>0</v>
      </c>
      <c r="BO57" s="25">
        <f t="shared" si="27"/>
        <v>0</v>
      </c>
      <c r="BP57" s="20">
        <f t="shared" si="6"/>
        <v>356</v>
      </c>
      <c r="BQ57" s="20">
        <f t="shared" si="6"/>
        <v>7.5014992696047448E-3</v>
      </c>
      <c r="BR57" s="25">
        <f>VLOOKUP(BP57,'Hazard Weighting Functions'!$B$5:$G$1205,4,FALSE)</f>
        <v>0</v>
      </c>
      <c r="BS57" s="25">
        <f t="shared" si="28"/>
        <v>0</v>
      </c>
      <c r="BT57" s="25">
        <f t="shared" si="29"/>
        <v>0</v>
      </c>
      <c r="BV57" s="25">
        <f>VLOOKUP(BK57,'Hazard Weighting Functions'!$B$5:$G$1205,5,FALSE)</f>
        <v>0</v>
      </c>
      <c r="BW57" s="25">
        <f t="shared" si="30"/>
        <v>0</v>
      </c>
      <c r="BX57" s="25">
        <f t="shared" si="31"/>
        <v>0</v>
      </c>
    </row>
    <row r="58" spans="2:76">
      <c r="B58" s="25">
        <v>258</v>
      </c>
      <c r="C58" s="36">
        <v>0</v>
      </c>
      <c r="E58" s="25">
        <v>258</v>
      </c>
      <c r="F58" s="36"/>
      <c r="H58" s="25">
        <v>258</v>
      </c>
      <c r="I58" s="36"/>
      <c r="K58" s="25">
        <v>1145</v>
      </c>
      <c r="L58" s="36"/>
      <c r="N58" s="25">
        <v>358</v>
      </c>
      <c r="O58" s="36">
        <v>4.262151103758384E-2</v>
      </c>
      <c r="Q58" s="25">
        <v>358</v>
      </c>
      <c r="R58" s="36">
        <v>0.25601161514256809</v>
      </c>
      <c r="V58" s="25">
        <f t="shared" si="8"/>
        <v>258</v>
      </c>
      <c r="W58" s="25">
        <f t="shared" si="8"/>
        <v>0</v>
      </c>
      <c r="Y58" s="25">
        <f t="shared" si="9"/>
        <v>258</v>
      </c>
      <c r="Z58" s="25">
        <f t="shared" si="9"/>
        <v>0</v>
      </c>
      <c r="AA58" s="25">
        <f>VLOOKUP(Y58,'Hazard Weighting Functions'!$B$5:$G$1205,2,FALSE)</f>
        <v>0.59450000000000003</v>
      </c>
      <c r="AB58" s="25">
        <f t="shared" si="10"/>
        <v>0</v>
      </c>
      <c r="AC58" s="25">
        <f t="shared" si="11"/>
        <v>1.6481957449892697E-4</v>
      </c>
      <c r="AE58" s="25">
        <f>VLOOKUP(Y58,'Hazard Weighting Functions'!$B$5:$G$1205,3,FALSE)</f>
        <v>0</v>
      </c>
      <c r="AF58" s="25">
        <f t="shared" si="12"/>
        <v>0</v>
      </c>
      <c r="AG58" s="25">
        <f t="shared" si="13"/>
        <v>0</v>
      </c>
      <c r="AH58" s="25">
        <f>VLOOKUP(Y58,'Hazard Weighting Functions'!$B$5:$G$1205,5,FALSE)</f>
        <v>0</v>
      </c>
      <c r="AI58" s="25">
        <f t="shared" si="14"/>
        <v>0</v>
      </c>
      <c r="AJ58" s="25">
        <f t="shared" si="15"/>
        <v>0</v>
      </c>
      <c r="AP58" s="20">
        <f>'IEC_EN62471- LED non-GLS'!E108</f>
        <v>358</v>
      </c>
      <c r="AQ58" s="20">
        <f t="shared" si="16"/>
        <v>6.6377728505550251E-2</v>
      </c>
      <c r="AR58" s="25">
        <f>VLOOKUP(AP58,'Hazard Weighting Functions'!$B$5:$G$1205,3,FALSE)</f>
        <v>0.01</v>
      </c>
      <c r="AS58" s="25">
        <f t="shared" si="17"/>
        <v>6.6377728505550247E-4</v>
      </c>
      <c r="AT58" s="25">
        <f t="shared" si="18"/>
        <v>1.3952248518317918E-3</v>
      </c>
      <c r="AU58" s="20">
        <f t="shared" si="7"/>
        <v>358</v>
      </c>
      <c r="AV58" s="25">
        <f>O58</f>
        <v>4.262151103758384E-2</v>
      </c>
      <c r="AW58" s="25">
        <f>VLOOKUP(AU58,'Hazard Weighting Functions'!$B$5:$G$1205,3,FALSE)</f>
        <v>0.01</v>
      </c>
      <c r="AX58" s="25">
        <f t="shared" si="19"/>
        <v>4.2621511037583843E-4</v>
      </c>
      <c r="AY58" s="25">
        <f t="shared" si="20"/>
        <v>8.199824291368076E-4</v>
      </c>
      <c r="AZ58" s="20">
        <f t="shared" si="2"/>
        <v>358</v>
      </c>
      <c r="BA58" s="20">
        <f t="shared" si="2"/>
        <v>0.25601161514256809</v>
      </c>
      <c r="BB58" s="25">
        <f>VLOOKUP(AZ58,'Hazard Weighting Functions'!$B$5:$G$1205,3,FALSE)</f>
        <v>0.01</v>
      </c>
      <c r="BC58" s="25">
        <f t="shared" si="21"/>
        <v>2.5601161514256809E-3</v>
      </c>
      <c r="BD58" s="25">
        <f t="shared" si="22"/>
        <v>3.5364673451370671E-3</v>
      </c>
      <c r="BF58" s="20">
        <f t="shared" si="32"/>
        <v>495</v>
      </c>
      <c r="BG58" s="20">
        <f t="shared" si="32"/>
        <v>0</v>
      </c>
      <c r="BH58" s="25">
        <f>VLOOKUP(BF58,'Hazard Weighting Functions'!$B$5:$G$1205,4,FALSE)</f>
        <v>1.6</v>
      </c>
      <c r="BI58" s="25">
        <f t="shared" si="24"/>
        <v>0</v>
      </c>
      <c r="BJ58" s="25">
        <f t="shared" si="25"/>
        <v>0</v>
      </c>
      <c r="BK58" s="1">
        <f t="shared" si="5"/>
        <v>358</v>
      </c>
      <c r="BL58" s="20">
        <f t="shared" si="5"/>
        <v>4.262151103758384E-2</v>
      </c>
      <c r="BM58" s="25">
        <f>VLOOKUP(BK58,'Hazard Weighting Functions'!$B$5:$G$1205,4,FALSE)</f>
        <v>0</v>
      </c>
      <c r="BN58" s="25">
        <f t="shared" si="26"/>
        <v>0</v>
      </c>
      <c r="BO58" s="25">
        <f t="shared" si="27"/>
        <v>0</v>
      </c>
      <c r="BP58" s="20">
        <f t="shared" si="6"/>
        <v>358</v>
      </c>
      <c r="BQ58" s="20">
        <f t="shared" si="6"/>
        <v>0.25601161514256809</v>
      </c>
      <c r="BR58" s="25">
        <f>VLOOKUP(BP58,'Hazard Weighting Functions'!$B$5:$G$1205,4,FALSE)</f>
        <v>0</v>
      </c>
      <c r="BS58" s="25">
        <f t="shared" si="28"/>
        <v>0</v>
      </c>
      <c r="BT58" s="25">
        <f t="shared" si="29"/>
        <v>0</v>
      </c>
      <c r="BV58" s="25">
        <f>VLOOKUP(BK58,'Hazard Weighting Functions'!$B$5:$G$1205,5,FALSE)</f>
        <v>0</v>
      </c>
      <c r="BW58" s="25">
        <f t="shared" si="30"/>
        <v>0</v>
      </c>
      <c r="BX58" s="25">
        <f t="shared" si="31"/>
        <v>0</v>
      </c>
    </row>
    <row r="59" spans="2:76">
      <c r="B59" s="25">
        <v>260</v>
      </c>
      <c r="C59" s="36">
        <v>2.5356857615219531E-4</v>
      </c>
      <c r="E59" s="25">
        <v>260</v>
      </c>
      <c r="F59" s="36"/>
      <c r="H59" s="25">
        <v>260</v>
      </c>
      <c r="I59" s="36"/>
      <c r="K59" s="25">
        <v>1150</v>
      </c>
      <c r="L59" s="36"/>
      <c r="N59" s="25">
        <v>360</v>
      </c>
      <c r="O59" s="36">
        <v>3.9376731876096908E-2</v>
      </c>
      <c r="Q59" s="25">
        <v>360</v>
      </c>
      <c r="R59" s="36">
        <v>9.763511937113864E-2</v>
      </c>
      <c r="V59" s="25">
        <f t="shared" si="8"/>
        <v>260</v>
      </c>
      <c r="W59" s="25">
        <f t="shared" si="8"/>
        <v>2.5356857615219531E-4</v>
      </c>
      <c r="Y59" s="25">
        <f t="shared" si="9"/>
        <v>260</v>
      </c>
      <c r="Z59" s="25">
        <f t="shared" si="9"/>
        <v>2.5356857615219531E-4</v>
      </c>
      <c r="AA59" s="25">
        <f>VLOOKUP(Y59,'Hazard Weighting Functions'!$B$5:$G$1205,2,FALSE)</f>
        <v>0.65</v>
      </c>
      <c r="AB59" s="25">
        <f t="shared" si="10"/>
        <v>1.6481957449892697E-4</v>
      </c>
      <c r="AC59" s="25">
        <f t="shared" si="11"/>
        <v>1.6481957449892697E-4</v>
      </c>
      <c r="AE59" s="25">
        <f>VLOOKUP(Y59,'Hazard Weighting Functions'!$B$5:$G$1205,3,FALSE)</f>
        <v>0</v>
      </c>
      <c r="AF59" s="25">
        <f t="shared" si="12"/>
        <v>0</v>
      </c>
      <c r="AG59" s="25">
        <f t="shared" si="13"/>
        <v>0</v>
      </c>
      <c r="AH59" s="25">
        <f>VLOOKUP(Y59,'Hazard Weighting Functions'!$B$5:$G$1205,5,FALSE)</f>
        <v>0</v>
      </c>
      <c r="AI59" s="25">
        <f t="shared" si="14"/>
        <v>0</v>
      </c>
      <c r="AJ59" s="25">
        <f t="shared" si="15"/>
        <v>0</v>
      </c>
      <c r="AP59" s="20">
        <f>'IEC_EN62471- LED non-GLS'!E109</f>
        <v>360</v>
      </c>
      <c r="AQ59" s="20">
        <f t="shared" si="16"/>
        <v>7.3144756677628917E-2</v>
      </c>
      <c r="AR59" s="25">
        <f>VLOOKUP(AP59,'Hazard Weighting Functions'!$B$5:$G$1205,3,FALSE)</f>
        <v>0.01</v>
      </c>
      <c r="AS59" s="25">
        <f t="shared" si="17"/>
        <v>7.3144756677628918E-4</v>
      </c>
      <c r="AT59" s="25">
        <f t="shared" si="18"/>
        <v>1.4401933308315841E-3</v>
      </c>
      <c r="AU59" s="20">
        <f t="shared" si="7"/>
        <v>360</v>
      </c>
      <c r="AV59" s="25">
        <f>O59</f>
        <v>3.9376731876096908E-2</v>
      </c>
      <c r="AW59" s="25">
        <f>VLOOKUP(AU59,'Hazard Weighting Functions'!$B$5:$G$1205,3,FALSE)</f>
        <v>0.01</v>
      </c>
      <c r="AX59" s="25">
        <f t="shared" si="19"/>
        <v>3.9376731876096912E-4</v>
      </c>
      <c r="AY59" s="25">
        <f t="shared" si="20"/>
        <v>7.5507630651858735E-4</v>
      </c>
      <c r="AZ59" s="20">
        <f t="shared" si="2"/>
        <v>360</v>
      </c>
      <c r="BA59" s="20">
        <f t="shared" si="2"/>
        <v>9.763511937113864E-2</v>
      </c>
      <c r="BB59" s="25">
        <f>VLOOKUP(AZ59,'Hazard Weighting Functions'!$B$5:$G$1205,3,FALSE)</f>
        <v>0.01</v>
      </c>
      <c r="BC59" s="25">
        <f t="shared" si="21"/>
        <v>9.7635119371138643E-4</v>
      </c>
      <c r="BD59" s="25">
        <f t="shared" si="22"/>
        <v>9.7635119371138643E-4</v>
      </c>
      <c r="BF59" s="20">
        <f t="shared" si="32"/>
        <v>500</v>
      </c>
      <c r="BG59" s="20">
        <f t="shared" si="32"/>
        <v>0</v>
      </c>
      <c r="BH59" s="25">
        <f>VLOOKUP(BF59,'Hazard Weighting Functions'!$B$5:$G$1205,4,FALSE)</f>
        <v>1</v>
      </c>
      <c r="BI59" s="25">
        <f t="shared" si="24"/>
        <v>0</v>
      </c>
      <c r="BJ59" s="25">
        <f t="shared" si="25"/>
        <v>0</v>
      </c>
      <c r="BK59" s="1">
        <f t="shared" si="5"/>
        <v>360</v>
      </c>
      <c r="BL59" s="20">
        <f t="shared" si="5"/>
        <v>3.9376731876096908E-2</v>
      </c>
      <c r="BM59" s="25">
        <f>VLOOKUP(BK59,'Hazard Weighting Functions'!$B$5:$G$1205,4,FALSE)</f>
        <v>0</v>
      </c>
      <c r="BN59" s="25">
        <f t="shared" si="26"/>
        <v>0</v>
      </c>
      <c r="BO59" s="25">
        <f t="shared" si="27"/>
        <v>0</v>
      </c>
      <c r="BP59" s="20">
        <f t="shared" si="6"/>
        <v>360</v>
      </c>
      <c r="BQ59" s="20">
        <f t="shared" si="6"/>
        <v>9.763511937113864E-2</v>
      </c>
      <c r="BR59" s="25">
        <f>VLOOKUP(BP59,'Hazard Weighting Functions'!$B$5:$G$1205,4,FALSE)</f>
        <v>0</v>
      </c>
      <c r="BS59" s="25">
        <f t="shared" si="28"/>
        <v>0</v>
      </c>
      <c r="BT59" s="25">
        <f t="shared" si="29"/>
        <v>0</v>
      </c>
      <c r="BV59" s="25">
        <f>VLOOKUP(BK59,'Hazard Weighting Functions'!$B$5:$G$1205,5,FALSE)</f>
        <v>0</v>
      </c>
      <c r="BW59" s="25">
        <f t="shared" si="30"/>
        <v>0</v>
      </c>
      <c r="BX59" s="25">
        <f t="shared" si="31"/>
        <v>0</v>
      </c>
    </row>
    <row r="60" spans="2:76">
      <c r="B60" s="25">
        <v>262</v>
      </c>
      <c r="C60" s="36">
        <v>0</v>
      </c>
      <c r="E60" s="25">
        <v>262</v>
      </c>
      <c r="F60" s="36"/>
      <c r="H60" s="25">
        <v>262</v>
      </c>
      <c r="I60" s="36"/>
      <c r="K60" s="25">
        <v>1155</v>
      </c>
      <c r="L60" s="36"/>
      <c r="N60" s="25">
        <v>362</v>
      </c>
      <c r="O60" s="36">
        <v>3.6130898775761824E-2</v>
      </c>
      <c r="Q60" s="25">
        <v>362</v>
      </c>
      <c r="R60" s="36">
        <v>0</v>
      </c>
      <c r="V60" s="25">
        <f t="shared" si="8"/>
        <v>262</v>
      </c>
      <c r="W60" s="25">
        <f t="shared" si="8"/>
        <v>0</v>
      </c>
      <c r="Y60" s="25">
        <f t="shared" si="9"/>
        <v>262</v>
      </c>
      <c r="Z60" s="25">
        <f t="shared" si="9"/>
        <v>0</v>
      </c>
      <c r="AA60" s="25">
        <f>VLOOKUP(Y60,'Hazard Weighting Functions'!$B$5:$G$1205,2,FALSE)</f>
        <v>0.70979999999999999</v>
      </c>
      <c r="AB60" s="25">
        <f t="shared" si="10"/>
        <v>0</v>
      </c>
      <c r="AC60" s="25">
        <f t="shared" si="11"/>
        <v>0</v>
      </c>
      <c r="AE60" s="25">
        <f>VLOOKUP(Y60,'Hazard Weighting Functions'!$B$5:$G$1205,3,FALSE)</f>
        <v>0</v>
      </c>
      <c r="AF60" s="25">
        <f t="shared" si="12"/>
        <v>0</v>
      </c>
      <c r="AG60" s="25">
        <f t="shared" si="13"/>
        <v>0</v>
      </c>
      <c r="AH60" s="25">
        <f>VLOOKUP(Y60,'Hazard Weighting Functions'!$B$5:$G$1205,5,FALSE)</f>
        <v>0</v>
      </c>
      <c r="AI60" s="25">
        <f t="shared" si="14"/>
        <v>0</v>
      </c>
      <c r="AJ60" s="25">
        <f t="shared" si="15"/>
        <v>0</v>
      </c>
      <c r="AP60" s="20">
        <f>'IEC_EN62471- LED non-GLS'!E110</f>
        <v>362</v>
      </c>
      <c r="AQ60" s="20">
        <f t="shared" si="16"/>
        <v>7.0874576405529494E-2</v>
      </c>
      <c r="AR60" s="25">
        <f>VLOOKUP(AP60,'Hazard Weighting Functions'!$B$5:$G$1205,3,FALSE)</f>
        <v>0.01</v>
      </c>
      <c r="AS60" s="25">
        <f t="shared" si="17"/>
        <v>7.0874576405529494E-4</v>
      </c>
      <c r="AT60" s="25">
        <f t="shared" si="18"/>
        <v>1.5594401114918418E-3</v>
      </c>
      <c r="AU60" s="20">
        <f t="shared" si="7"/>
        <v>362</v>
      </c>
      <c r="AV60" s="25">
        <f>O60</f>
        <v>3.6130898775761824E-2</v>
      </c>
      <c r="AW60" s="25">
        <f>VLOOKUP(AU60,'Hazard Weighting Functions'!$B$5:$G$1205,3,FALSE)</f>
        <v>0.01</v>
      </c>
      <c r="AX60" s="25">
        <f t="shared" si="19"/>
        <v>3.6130898775761823E-4</v>
      </c>
      <c r="AY60" s="25">
        <f t="shared" si="20"/>
        <v>7.2890749224982282E-4</v>
      </c>
      <c r="AZ60" s="20">
        <f t="shared" si="2"/>
        <v>362</v>
      </c>
      <c r="BA60" s="20">
        <f t="shared" si="2"/>
        <v>0</v>
      </c>
      <c r="BB60" s="25">
        <f>VLOOKUP(AZ60,'Hazard Weighting Functions'!$B$5:$G$1205,3,FALSE)</f>
        <v>0.01</v>
      </c>
      <c r="BC60" s="25">
        <f t="shared" si="21"/>
        <v>0</v>
      </c>
      <c r="BD60" s="25">
        <f t="shared" si="22"/>
        <v>7.0304461121082815E-5</v>
      </c>
      <c r="BF60" s="20">
        <f t="shared" si="32"/>
        <v>505</v>
      </c>
      <c r="BG60" s="20">
        <f t="shared" si="32"/>
        <v>0</v>
      </c>
      <c r="BH60" s="25">
        <f>VLOOKUP(BF60,'Hazard Weighting Functions'!$B$5:$G$1205,4,FALSE)</f>
        <v>1</v>
      </c>
      <c r="BI60" s="25">
        <f t="shared" si="24"/>
        <v>0</v>
      </c>
      <c r="BJ60" s="25">
        <f t="shared" si="25"/>
        <v>0</v>
      </c>
      <c r="BK60" s="1">
        <f t="shared" si="5"/>
        <v>362</v>
      </c>
      <c r="BL60" s="20">
        <f t="shared" si="5"/>
        <v>3.6130898775761824E-2</v>
      </c>
      <c r="BM60" s="25">
        <f>VLOOKUP(BK60,'Hazard Weighting Functions'!$B$5:$G$1205,4,FALSE)</f>
        <v>0</v>
      </c>
      <c r="BN60" s="25">
        <f t="shared" si="26"/>
        <v>0</v>
      </c>
      <c r="BO60" s="25">
        <f t="shared" si="27"/>
        <v>0</v>
      </c>
      <c r="BP60" s="20">
        <f t="shared" si="6"/>
        <v>362</v>
      </c>
      <c r="BQ60" s="20">
        <f t="shared" si="6"/>
        <v>0</v>
      </c>
      <c r="BR60" s="25">
        <f>VLOOKUP(BP60,'Hazard Weighting Functions'!$B$5:$G$1205,4,FALSE)</f>
        <v>0</v>
      </c>
      <c r="BS60" s="25">
        <f t="shared" si="28"/>
        <v>0</v>
      </c>
      <c r="BT60" s="25">
        <f t="shared" si="29"/>
        <v>0</v>
      </c>
      <c r="BV60" s="25">
        <f>VLOOKUP(BK60,'Hazard Weighting Functions'!$B$5:$G$1205,5,FALSE)</f>
        <v>0</v>
      </c>
      <c r="BW60" s="25">
        <f t="shared" si="30"/>
        <v>0</v>
      </c>
      <c r="BX60" s="25">
        <f t="shared" si="31"/>
        <v>0</v>
      </c>
    </row>
    <row r="61" spans="2:76">
      <c r="B61" s="25">
        <v>264</v>
      </c>
      <c r="C61" s="36">
        <v>0</v>
      </c>
      <c r="E61" s="25">
        <v>264</v>
      </c>
      <c r="F61" s="36"/>
      <c r="H61" s="25">
        <v>264</v>
      </c>
      <c r="I61" s="36"/>
      <c r="K61" s="25">
        <v>1160</v>
      </c>
      <c r="L61" s="36"/>
      <c r="N61" s="25">
        <v>364</v>
      </c>
      <c r="O61" s="36">
        <v>3.6759850449220456E-2</v>
      </c>
      <c r="Q61" s="25">
        <v>364</v>
      </c>
      <c r="R61" s="36">
        <v>7.030446112108282E-3</v>
      </c>
      <c r="V61" s="25">
        <f t="shared" si="8"/>
        <v>264</v>
      </c>
      <c r="W61" s="25">
        <f t="shared" si="8"/>
        <v>0</v>
      </c>
      <c r="Y61" s="25">
        <f t="shared" si="9"/>
        <v>264</v>
      </c>
      <c r="Z61" s="25">
        <f t="shared" si="9"/>
        <v>0</v>
      </c>
      <c r="AA61" s="25">
        <f>VLOOKUP(Y61,'Hazard Weighting Functions'!$B$5:$G$1205,2,FALSE)</f>
        <v>0.77510000000000001</v>
      </c>
      <c r="AB61" s="25">
        <f t="shared" si="10"/>
        <v>0</v>
      </c>
      <c r="AC61" s="25">
        <f t="shared" si="11"/>
        <v>1.2581531506125358E-3</v>
      </c>
      <c r="AE61" s="25">
        <f>VLOOKUP(Y61,'Hazard Weighting Functions'!$B$5:$G$1205,3,FALSE)</f>
        <v>0</v>
      </c>
      <c r="AF61" s="25">
        <f t="shared" si="12"/>
        <v>0</v>
      </c>
      <c r="AG61" s="25">
        <f t="shared" si="13"/>
        <v>0</v>
      </c>
      <c r="AH61" s="25">
        <f>VLOOKUP(Y61,'Hazard Weighting Functions'!$B$5:$G$1205,5,FALSE)</f>
        <v>0</v>
      </c>
      <c r="AI61" s="25">
        <f t="shared" si="14"/>
        <v>0</v>
      </c>
      <c r="AJ61" s="25">
        <f t="shared" si="15"/>
        <v>0</v>
      </c>
      <c r="AP61" s="20">
        <f>'IEC_EN62471- LED non-GLS'!E111</f>
        <v>364</v>
      </c>
      <c r="AQ61" s="20">
        <f t="shared" si="16"/>
        <v>8.5069434743654679E-2</v>
      </c>
      <c r="AR61" s="25">
        <f>VLOOKUP(AP61,'Hazard Weighting Functions'!$B$5:$G$1205,3,FALSE)</f>
        <v>0.01</v>
      </c>
      <c r="AS61" s="25">
        <f t="shared" si="17"/>
        <v>8.506943474365468E-4</v>
      </c>
      <c r="AT61" s="25">
        <f t="shared" si="18"/>
        <v>1.8481971616863073E-3</v>
      </c>
      <c r="AU61" s="20">
        <f t="shared" si="7"/>
        <v>364</v>
      </c>
      <c r="AV61" s="25">
        <f>O61</f>
        <v>3.6759850449220456E-2</v>
      </c>
      <c r="AW61" s="25">
        <f>VLOOKUP(AU61,'Hazard Weighting Functions'!$B$5:$G$1205,3,FALSE)</f>
        <v>0.01</v>
      </c>
      <c r="AX61" s="25">
        <f t="shared" si="19"/>
        <v>3.6759850449220459E-4</v>
      </c>
      <c r="AY61" s="25">
        <f t="shared" si="20"/>
        <v>7.4742967223708368E-4</v>
      </c>
      <c r="AZ61" s="20">
        <f t="shared" si="2"/>
        <v>364</v>
      </c>
      <c r="BA61" s="20">
        <f t="shared" si="2"/>
        <v>7.030446112108282E-3</v>
      </c>
      <c r="BB61" s="25">
        <f>VLOOKUP(AZ61,'Hazard Weighting Functions'!$B$5:$G$1205,3,FALSE)</f>
        <v>0.01</v>
      </c>
      <c r="BC61" s="25">
        <f t="shared" si="21"/>
        <v>7.0304461121082815E-5</v>
      </c>
      <c r="BD61" s="25">
        <f t="shared" si="22"/>
        <v>7.0304461121082815E-5</v>
      </c>
      <c r="BF61" s="20">
        <f t="shared" si="32"/>
        <v>510</v>
      </c>
      <c r="BG61" s="20">
        <f t="shared" si="32"/>
        <v>0</v>
      </c>
      <c r="BH61" s="25">
        <f>VLOOKUP(BF61,'Hazard Weighting Functions'!$B$5:$G$1205,4,FALSE)</f>
        <v>1</v>
      </c>
      <c r="BI61" s="25">
        <f t="shared" si="24"/>
        <v>0</v>
      </c>
      <c r="BJ61" s="25">
        <f t="shared" si="25"/>
        <v>0</v>
      </c>
      <c r="BK61" s="1">
        <f t="shared" si="5"/>
        <v>364</v>
      </c>
      <c r="BL61" s="20">
        <f t="shared" si="5"/>
        <v>3.6759850449220456E-2</v>
      </c>
      <c r="BM61" s="25">
        <f>VLOOKUP(BK61,'Hazard Weighting Functions'!$B$5:$G$1205,4,FALSE)</f>
        <v>0</v>
      </c>
      <c r="BN61" s="25">
        <f t="shared" si="26"/>
        <v>0</v>
      </c>
      <c r="BO61" s="25">
        <f t="shared" si="27"/>
        <v>0</v>
      </c>
      <c r="BP61" s="20">
        <f t="shared" si="6"/>
        <v>364</v>
      </c>
      <c r="BQ61" s="20">
        <f t="shared" si="6"/>
        <v>7.030446112108282E-3</v>
      </c>
      <c r="BR61" s="25">
        <f>VLOOKUP(BP61,'Hazard Weighting Functions'!$B$5:$G$1205,4,FALSE)</f>
        <v>0</v>
      </c>
      <c r="BS61" s="25">
        <f t="shared" si="28"/>
        <v>0</v>
      </c>
      <c r="BT61" s="25">
        <f t="shared" si="29"/>
        <v>0</v>
      </c>
      <c r="BV61" s="25">
        <f>VLOOKUP(BK61,'Hazard Weighting Functions'!$B$5:$G$1205,5,FALSE)</f>
        <v>0</v>
      </c>
      <c r="BW61" s="25">
        <f t="shared" si="30"/>
        <v>0</v>
      </c>
      <c r="BX61" s="25">
        <f t="shared" si="31"/>
        <v>0</v>
      </c>
    </row>
    <row r="62" spans="2:76">
      <c r="B62" s="25">
        <v>266</v>
      </c>
      <c r="C62" s="36">
        <v>1.489114866389556E-3</v>
      </c>
      <c r="E62" s="25">
        <v>266</v>
      </c>
      <c r="F62" s="36"/>
      <c r="H62" s="25">
        <v>266</v>
      </c>
      <c r="I62" s="36"/>
      <c r="K62" s="25">
        <v>1165</v>
      </c>
      <c r="L62" s="36"/>
      <c r="N62" s="25">
        <v>366</v>
      </c>
      <c r="O62" s="36">
        <v>3.7983116774487916E-2</v>
      </c>
      <c r="Q62" s="25">
        <v>366</v>
      </c>
      <c r="R62" s="36">
        <v>0</v>
      </c>
      <c r="V62" s="25">
        <f t="shared" si="8"/>
        <v>266</v>
      </c>
      <c r="W62" s="25">
        <f t="shared" si="8"/>
        <v>1.489114866389556E-3</v>
      </c>
      <c r="Y62" s="25">
        <f t="shared" si="9"/>
        <v>266</v>
      </c>
      <c r="Z62" s="25">
        <f t="shared" si="9"/>
        <v>1.489114866389556E-3</v>
      </c>
      <c r="AA62" s="25">
        <f>VLOOKUP(Y62,'Hazard Weighting Functions'!$B$5:$G$1205,2,FALSE)</f>
        <v>0.84489999999999998</v>
      </c>
      <c r="AB62" s="25">
        <f t="shared" si="10"/>
        <v>1.2581531506125358E-3</v>
      </c>
      <c r="AC62" s="25">
        <f t="shared" si="11"/>
        <v>3.1115991269624072E-3</v>
      </c>
      <c r="AE62" s="25">
        <f>VLOOKUP(Y62,'Hazard Weighting Functions'!$B$5:$G$1205,3,FALSE)</f>
        <v>0</v>
      </c>
      <c r="AF62" s="25">
        <f t="shared" si="12"/>
        <v>0</v>
      </c>
      <c r="AG62" s="25">
        <f t="shared" si="13"/>
        <v>0</v>
      </c>
      <c r="AH62" s="25">
        <f>VLOOKUP(Y62,'Hazard Weighting Functions'!$B$5:$G$1205,5,FALSE)</f>
        <v>0</v>
      </c>
      <c r="AI62" s="25">
        <f t="shared" si="14"/>
        <v>0</v>
      </c>
      <c r="AJ62" s="25">
        <f t="shared" si="15"/>
        <v>0</v>
      </c>
      <c r="AP62" s="20">
        <f>'IEC_EN62471- LED non-GLS'!E112</f>
        <v>366</v>
      </c>
      <c r="AQ62" s="20">
        <f t="shared" si="16"/>
        <v>9.9750281424976037E-2</v>
      </c>
      <c r="AR62" s="25">
        <f>VLOOKUP(AP62,'Hazard Weighting Functions'!$B$5:$G$1205,3,FALSE)</f>
        <v>0.01</v>
      </c>
      <c r="AS62" s="25">
        <f t="shared" si="17"/>
        <v>9.9750281424976044E-4</v>
      </c>
      <c r="AT62" s="25">
        <f t="shared" si="18"/>
        <v>1.9764792901899707E-3</v>
      </c>
      <c r="AU62" s="20">
        <f t="shared" si="7"/>
        <v>366</v>
      </c>
      <c r="AV62" s="25">
        <f>O62</f>
        <v>3.7983116774487916E-2</v>
      </c>
      <c r="AW62" s="25">
        <f>VLOOKUP(AU62,'Hazard Weighting Functions'!$B$5:$G$1205,3,FALSE)</f>
        <v>0.01</v>
      </c>
      <c r="AX62" s="25">
        <f t="shared" si="19"/>
        <v>3.7983116774487915E-4</v>
      </c>
      <c r="AY62" s="25">
        <f t="shared" si="20"/>
        <v>7.0067366577616843E-4</v>
      </c>
      <c r="AZ62" s="20">
        <f t="shared" si="2"/>
        <v>366</v>
      </c>
      <c r="BA62" s="20">
        <f t="shared" si="2"/>
        <v>0</v>
      </c>
      <c r="BB62" s="25">
        <f>VLOOKUP(AZ62,'Hazard Weighting Functions'!$B$5:$G$1205,3,FALSE)</f>
        <v>0.01</v>
      </c>
      <c r="BC62" s="25">
        <f t="shared" si="21"/>
        <v>0</v>
      </c>
      <c r="BD62" s="25">
        <f t="shared" si="22"/>
        <v>3.8134950084458294E-4</v>
      </c>
      <c r="BF62" s="20">
        <f t="shared" ref="BF62:BG77" si="33">H152</f>
        <v>515</v>
      </c>
      <c r="BG62" s="20">
        <f t="shared" si="33"/>
        <v>0</v>
      </c>
      <c r="BH62" s="25">
        <f>VLOOKUP(BF62,'Hazard Weighting Functions'!$B$5:$G$1205,4,FALSE)</f>
        <v>1</v>
      </c>
      <c r="BI62" s="25">
        <f t="shared" si="24"/>
        <v>0</v>
      </c>
      <c r="BJ62" s="25">
        <f t="shared" si="25"/>
        <v>0</v>
      </c>
      <c r="BK62" s="1">
        <f t="shared" si="5"/>
        <v>366</v>
      </c>
      <c r="BL62" s="20">
        <f t="shared" si="5"/>
        <v>3.7983116774487916E-2</v>
      </c>
      <c r="BM62" s="25">
        <f>VLOOKUP(BK62,'Hazard Weighting Functions'!$B$5:$G$1205,4,FALSE)</f>
        <v>0</v>
      </c>
      <c r="BN62" s="25">
        <f t="shared" si="26"/>
        <v>0</v>
      </c>
      <c r="BO62" s="25">
        <f t="shared" si="27"/>
        <v>0</v>
      </c>
      <c r="BP62" s="20">
        <f t="shared" si="6"/>
        <v>366</v>
      </c>
      <c r="BQ62" s="20">
        <f t="shared" si="6"/>
        <v>0</v>
      </c>
      <c r="BR62" s="25">
        <f>VLOOKUP(BP62,'Hazard Weighting Functions'!$B$5:$G$1205,4,FALSE)</f>
        <v>0</v>
      </c>
      <c r="BS62" s="25">
        <f t="shared" si="28"/>
        <v>0</v>
      </c>
      <c r="BT62" s="25">
        <f t="shared" si="29"/>
        <v>0</v>
      </c>
      <c r="BV62" s="25">
        <f>VLOOKUP(BK62,'Hazard Weighting Functions'!$B$5:$G$1205,5,FALSE)</f>
        <v>0</v>
      </c>
      <c r="BW62" s="25">
        <f t="shared" si="30"/>
        <v>0</v>
      </c>
      <c r="BX62" s="25">
        <f t="shared" si="31"/>
        <v>0</v>
      </c>
    </row>
    <row r="63" spans="2:76">
      <c r="B63" s="25">
        <v>268</v>
      </c>
      <c r="C63" s="36">
        <v>2.016368555646074E-3</v>
      </c>
      <c r="E63" s="25">
        <v>268</v>
      </c>
      <c r="F63" s="36"/>
      <c r="H63" s="25">
        <v>268</v>
      </c>
      <c r="I63" s="36"/>
      <c r="K63" s="25">
        <v>1170</v>
      </c>
      <c r="L63" s="36"/>
      <c r="N63" s="25">
        <v>368</v>
      </c>
      <c r="O63" s="36">
        <v>3.2084249803128927E-2</v>
      </c>
      <c r="Q63" s="25">
        <v>368</v>
      </c>
      <c r="R63" s="36">
        <v>3.8134950084458295E-2</v>
      </c>
      <c r="V63" s="25">
        <f t="shared" si="8"/>
        <v>268</v>
      </c>
      <c r="W63" s="25">
        <f t="shared" si="8"/>
        <v>2.016368555646074E-3</v>
      </c>
      <c r="Y63" s="25">
        <f t="shared" si="9"/>
        <v>268</v>
      </c>
      <c r="Z63" s="25">
        <f t="shared" si="9"/>
        <v>2.016368555646074E-3</v>
      </c>
      <c r="AA63" s="25">
        <f>VLOOKUP(Y63,'Hazard Weighting Functions'!$B$5:$G$1205,2,FALSE)</f>
        <v>0.91920000000000002</v>
      </c>
      <c r="AB63" s="25">
        <f t="shared" si="10"/>
        <v>1.8534459763498712E-3</v>
      </c>
      <c r="AC63" s="25">
        <f t="shared" si="11"/>
        <v>4.1934469440357168E-3</v>
      </c>
      <c r="AE63" s="25">
        <f>VLOOKUP(Y63,'Hazard Weighting Functions'!$B$5:$G$1205,3,FALSE)</f>
        <v>0</v>
      </c>
      <c r="AF63" s="25">
        <f t="shared" si="12"/>
        <v>0</v>
      </c>
      <c r="AG63" s="25">
        <f t="shared" si="13"/>
        <v>0</v>
      </c>
      <c r="AH63" s="25">
        <f>VLOOKUP(Y63,'Hazard Weighting Functions'!$B$5:$G$1205,5,FALSE)</f>
        <v>0</v>
      </c>
      <c r="AI63" s="25">
        <f t="shared" si="14"/>
        <v>0</v>
      </c>
      <c r="AJ63" s="25">
        <f t="shared" si="15"/>
        <v>0</v>
      </c>
      <c r="AP63" s="20">
        <f>'IEC_EN62471- LED non-GLS'!E113</f>
        <v>368</v>
      </c>
      <c r="AQ63" s="20">
        <f t="shared" si="16"/>
        <v>9.7897647594021017E-2</v>
      </c>
      <c r="AR63" s="25">
        <f>VLOOKUP(AP63,'Hazard Weighting Functions'!$B$5:$G$1205,3,FALSE)</f>
        <v>0.01</v>
      </c>
      <c r="AS63" s="25">
        <f t="shared" si="17"/>
        <v>9.7897647594021009E-4</v>
      </c>
      <c r="AT63" s="25">
        <f t="shared" si="18"/>
        <v>2.0192795860399732E-3</v>
      </c>
      <c r="AU63" s="20">
        <f t="shared" si="7"/>
        <v>368</v>
      </c>
      <c r="AV63" s="25">
        <f>O63</f>
        <v>3.2084249803128927E-2</v>
      </c>
      <c r="AW63" s="25">
        <f>VLOOKUP(AU63,'Hazard Weighting Functions'!$B$5:$G$1205,3,FALSE)</f>
        <v>0.01</v>
      </c>
      <c r="AX63" s="25">
        <f t="shared" si="19"/>
        <v>3.2084249803128928E-4</v>
      </c>
      <c r="AY63" s="25">
        <f t="shared" si="20"/>
        <v>6.6282791423095922E-4</v>
      </c>
      <c r="AZ63" s="20">
        <f t="shared" si="2"/>
        <v>368</v>
      </c>
      <c r="BA63" s="20">
        <f t="shared" si="2"/>
        <v>3.8134950084458295E-2</v>
      </c>
      <c r="BB63" s="25">
        <f>VLOOKUP(AZ63,'Hazard Weighting Functions'!$B$5:$G$1205,3,FALSE)</f>
        <v>0.01</v>
      </c>
      <c r="BC63" s="25">
        <f t="shared" si="21"/>
        <v>3.8134950084458294E-4</v>
      </c>
      <c r="BD63" s="25">
        <f t="shared" si="22"/>
        <v>1.4711655530213323E-3</v>
      </c>
      <c r="BF63" s="20">
        <f t="shared" si="33"/>
        <v>520</v>
      </c>
      <c r="BG63" s="20">
        <f t="shared" si="33"/>
        <v>0</v>
      </c>
      <c r="BH63" s="25">
        <f>VLOOKUP(BF63,'Hazard Weighting Functions'!$B$5:$G$1205,4,FALSE)</f>
        <v>1</v>
      </c>
      <c r="BI63" s="25">
        <f t="shared" si="24"/>
        <v>0</v>
      </c>
      <c r="BJ63" s="25">
        <f t="shared" si="25"/>
        <v>0</v>
      </c>
      <c r="BK63" s="1">
        <f t="shared" si="5"/>
        <v>368</v>
      </c>
      <c r="BL63" s="20">
        <f t="shared" si="5"/>
        <v>3.2084249803128927E-2</v>
      </c>
      <c r="BM63" s="25">
        <f>VLOOKUP(BK63,'Hazard Weighting Functions'!$B$5:$G$1205,4,FALSE)</f>
        <v>0</v>
      </c>
      <c r="BN63" s="25">
        <f t="shared" si="26"/>
        <v>0</v>
      </c>
      <c r="BO63" s="25">
        <f t="shared" si="27"/>
        <v>0</v>
      </c>
      <c r="BP63" s="20">
        <f t="shared" si="6"/>
        <v>368</v>
      </c>
      <c r="BQ63" s="20">
        <f t="shared" si="6"/>
        <v>3.8134950084458295E-2</v>
      </c>
      <c r="BR63" s="25">
        <f>VLOOKUP(BP63,'Hazard Weighting Functions'!$B$5:$G$1205,4,FALSE)</f>
        <v>0</v>
      </c>
      <c r="BS63" s="25">
        <f t="shared" si="28"/>
        <v>0</v>
      </c>
      <c r="BT63" s="25">
        <f t="shared" si="29"/>
        <v>0</v>
      </c>
      <c r="BV63" s="25">
        <f>VLOOKUP(BK63,'Hazard Weighting Functions'!$B$5:$G$1205,5,FALSE)</f>
        <v>0</v>
      </c>
      <c r="BW63" s="25">
        <f t="shared" si="30"/>
        <v>0</v>
      </c>
      <c r="BX63" s="25">
        <f t="shared" si="31"/>
        <v>0</v>
      </c>
    </row>
    <row r="64" spans="2:76">
      <c r="B64" s="25">
        <v>270</v>
      </c>
      <c r="C64" s="36">
        <v>2.3400009676858456E-3</v>
      </c>
      <c r="E64" s="25">
        <v>270</v>
      </c>
      <c r="F64" s="36"/>
      <c r="H64" s="25">
        <v>270</v>
      </c>
      <c r="I64" s="36"/>
      <c r="K64" s="25">
        <v>1175</v>
      </c>
      <c r="L64" s="36"/>
      <c r="N64" s="25">
        <v>370</v>
      </c>
      <c r="O64" s="36">
        <v>3.4198541619966993E-2</v>
      </c>
      <c r="Q64" s="25">
        <v>370</v>
      </c>
      <c r="R64" s="36">
        <v>0.10898160521767492</v>
      </c>
      <c r="V64" s="25">
        <f t="shared" si="8"/>
        <v>270</v>
      </c>
      <c r="W64" s="25">
        <f t="shared" si="8"/>
        <v>2.3400009676858456E-3</v>
      </c>
      <c r="Y64" s="25">
        <f t="shared" si="9"/>
        <v>270</v>
      </c>
      <c r="Z64" s="25">
        <f t="shared" si="9"/>
        <v>2.3400009676858456E-3</v>
      </c>
      <c r="AA64" s="25">
        <f>VLOOKUP(Y64,'Hazard Weighting Functions'!$B$5:$G$1205,2,FALSE)</f>
        <v>1</v>
      </c>
      <c r="AB64" s="25">
        <f t="shared" si="10"/>
        <v>2.3400009676858456E-3</v>
      </c>
      <c r="AC64" s="25">
        <f t="shared" si="11"/>
        <v>3.939176309545352E-3</v>
      </c>
      <c r="AE64" s="25">
        <f>VLOOKUP(Y64,'Hazard Weighting Functions'!$B$5:$G$1205,3,FALSE)</f>
        <v>0</v>
      </c>
      <c r="AF64" s="25">
        <f t="shared" si="12"/>
        <v>0</v>
      </c>
      <c r="AG64" s="25">
        <f t="shared" si="13"/>
        <v>0</v>
      </c>
      <c r="AH64" s="25">
        <f>VLOOKUP(Y64,'Hazard Weighting Functions'!$B$5:$G$1205,5,FALSE)</f>
        <v>0</v>
      </c>
      <c r="AI64" s="25">
        <f t="shared" si="14"/>
        <v>0</v>
      </c>
      <c r="AJ64" s="25">
        <f t="shared" si="15"/>
        <v>0</v>
      </c>
      <c r="AP64" s="20">
        <f>'IEC_EN62471- LED non-GLS'!E114</f>
        <v>370</v>
      </c>
      <c r="AQ64" s="20">
        <f t="shared" si="16"/>
        <v>0.10403031100997633</v>
      </c>
      <c r="AR64" s="25">
        <f>VLOOKUP(AP64,'Hazard Weighting Functions'!$B$5:$G$1205,3,FALSE)</f>
        <v>0.01</v>
      </c>
      <c r="AS64" s="25">
        <f t="shared" si="17"/>
        <v>1.0403031100997633E-3</v>
      </c>
      <c r="AT64" s="25">
        <f t="shared" si="18"/>
        <v>2.0398664228879031E-3</v>
      </c>
      <c r="AU64" s="20">
        <f t="shared" si="7"/>
        <v>370</v>
      </c>
      <c r="AV64" s="25">
        <f>O64</f>
        <v>3.4198541619966993E-2</v>
      </c>
      <c r="AW64" s="25">
        <f>VLOOKUP(AU64,'Hazard Weighting Functions'!$B$5:$G$1205,3,FALSE)</f>
        <v>0.01</v>
      </c>
      <c r="AX64" s="25">
        <f t="shared" si="19"/>
        <v>3.4198541619966994E-4</v>
      </c>
      <c r="AY64" s="25">
        <f t="shared" si="20"/>
        <v>7.7611788546663317E-4</v>
      </c>
      <c r="AZ64" s="20">
        <f t="shared" si="2"/>
        <v>370</v>
      </c>
      <c r="BA64" s="20">
        <f t="shared" si="2"/>
        <v>0.10898160521767492</v>
      </c>
      <c r="BB64" s="25">
        <f>VLOOKUP(AZ64,'Hazard Weighting Functions'!$B$5:$G$1205,3,FALSE)</f>
        <v>0.01</v>
      </c>
      <c r="BC64" s="25">
        <f t="shared" si="21"/>
        <v>1.0898160521767492E-3</v>
      </c>
      <c r="BD64" s="25">
        <f t="shared" si="22"/>
        <v>1.5893266564325549E-3</v>
      </c>
      <c r="BF64" s="20">
        <f t="shared" si="33"/>
        <v>525</v>
      </c>
      <c r="BG64" s="20">
        <f t="shared" si="33"/>
        <v>0</v>
      </c>
      <c r="BH64" s="25">
        <f>VLOOKUP(BF64,'Hazard Weighting Functions'!$B$5:$G$1205,4,FALSE)</f>
        <v>1</v>
      </c>
      <c r="BI64" s="25">
        <f t="shared" si="24"/>
        <v>0</v>
      </c>
      <c r="BJ64" s="25">
        <f t="shared" si="25"/>
        <v>0</v>
      </c>
      <c r="BK64" s="1">
        <f t="shared" si="5"/>
        <v>370</v>
      </c>
      <c r="BL64" s="20">
        <f t="shared" si="5"/>
        <v>3.4198541619966993E-2</v>
      </c>
      <c r="BM64" s="25">
        <f>VLOOKUP(BK64,'Hazard Weighting Functions'!$B$5:$G$1205,4,FALSE)</f>
        <v>0</v>
      </c>
      <c r="BN64" s="25">
        <f t="shared" si="26"/>
        <v>0</v>
      </c>
      <c r="BO64" s="25">
        <f t="shared" si="27"/>
        <v>0</v>
      </c>
      <c r="BP64" s="20">
        <f t="shared" si="6"/>
        <v>370</v>
      </c>
      <c r="BQ64" s="20">
        <f t="shared" si="6"/>
        <v>0.10898160521767492</v>
      </c>
      <c r="BR64" s="25">
        <f>VLOOKUP(BP64,'Hazard Weighting Functions'!$B$5:$G$1205,4,FALSE)</f>
        <v>0</v>
      </c>
      <c r="BS64" s="25">
        <f t="shared" si="28"/>
        <v>0</v>
      </c>
      <c r="BT64" s="25">
        <f t="shared" si="29"/>
        <v>0</v>
      </c>
      <c r="BV64" s="25">
        <f>VLOOKUP(BK64,'Hazard Weighting Functions'!$B$5:$G$1205,5,FALSE)</f>
        <v>0</v>
      </c>
      <c r="BW64" s="25">
        <f t="shared" si="30"/>
        <v>0</v>
      </c>
      <c r="BX64" s="25">
        <f t="shared" si="31"/>
        <v>0</v>
      </c>
    </row>
    <row r="65" spans="2:76">
      <c r="B65" s="25">
        <v>272</v>
      </c>
      <c r="C65" s="36">
        <v>1.6255085808695934E-3</v>
      </c>
      <c r="E65" s="25">
        <v>272</v>
      </c>
      <c r="F65" s="36"/>
      <c r="H65" s="25">
        <v>272</v>
      </c>
      <c r="I65" s="36"/>
      <c r="K65" s="25">
        <v>1180</v>
      </c>
      <c r="L65" s="36"/>
      <c r="N65" s="25">
        <v>372</v>
      </c>
      <c r="O65" s="36">
        <v>4.3413246926696319E-2</v>
      </c>
      <c r="Q65" s="25">
        <v>372</v>
      </c>
      <c r="R65" s="36">
        <v>4.9951060425580562E-2</v>
      </c>
      <c r="V65" s="25">
        <f t="shared" si="8"/>
        <v>272</v>
      </c>
      <c r="W65" s="25">
        <f t="shared" si="8"/>
        <v>1.6255085808695934E-3</v>
      </c>
      <c r="Y65" s="25">
        <f t="shared" si="9"/>
        <v>272</v>
      </c>
      <c r="Z65" s="25">
        <f t="shared" si="9"/>
        <v>1.6255085808695934E-3</v>
      </c>
      <c r="AA65" s="25">
        <f>VLOOKUP(Y65,'Hazard Weighting Functions'!$B$5:$G$1205,2,FALSE)</f>
        <v>0.98380000000000001</v>
      </c>
      <c r="AB65" s="25">
        <f t="shared" si="10"/>
        <v>1.599175341859506E-3</v>
      </c>
      <c r="AC65" s="25">
        <f t="shared" si="11"/>
        <v>3.1719943759799408E-3</v>
      </c>
      <c r="AE65" s="25">
        <f>VLOOKUP(Y65,'Hazard Weighting Functions'!$B$5:$G$1205,3,FALSE)</f>
        <v>0</v>
      </c>
      <c r="AF65" s="25">
        <f t="shared" si="12"/>
        <v>0</v>
      </c>
      <c r="AG65" s="25">
        <f t="shared" si="13"/>
        <v>0</v>
      </c>
      <c r="AH65" s="25">
        <f>VLOOKUP(Y65,'Hazard Weighting Functions'!$B$5:$G$1205,5,FALSE)</f>
        <v>0</v>
      </c>
      <c r="AI65" s="25">
        <f t="shared" si="14"/>
        <v>0</v>
      </c>
      <c r="AJ65" s="25">
        <f t="shared" si="15"/>
        <v>0</v>
      </c>
      <c r="AP65" s="20">
        <f>'IEC_EN62471- LED non-GLS'!E115</f>
        <v>372</v>
      </c>
      <c r="AQ65" s="20">
        <f t="shared" si="16"/>
        <v>9.9956331278813981E-2</v>
      </c>
      <c r="AR65" s="25">
        <f>VLOOKUP(AP65,'Hazard Weighting Functions'!$B$5:$G$1205,3,FALSE)</f>
        <v>0.01</v>
      </c>
      <c r="AS65" s="25">
        <f t="shared" si="17"/>
        <v>9.9956331278813976E-4</v>
      </c>
      <c r="AT65" s="25">
        <f t="shared" si="18"/>
        <v>1.8459613482879769E-3</v>
      </c>
      <c r="AU65" s="20">
        <f t="shared" si="7"/>
        <v>372</v>
      </c>
      <c r="AV65" s="25">
        <f>O65</f>
        <v>4.3413246926696319E-2</v>
      </c>
      <c r="AW65" s="25">
        <f>VLOOKUP(AU65,'Hazard Weighting Functions'!$B$5:$G$1205,3,FALSE)</f>
        <v>0.01</v>
      </c>
      <c r="AX65" s="25">
        <f t="shared" si="19"/>
        <v>4.3413246926696323E-4</v>
      </c>
      <c r="AY65" s="25">
        <f t="shared" si="20"/>
        <v>1.2460307964557019E-3</v>
      </c>
      <c r="AZ65" s="20">
        <f t="shared" si="2"/>
        <v>372</v>
      </c>
      <c r="BA65" s="20">
        <f t="shared" si="2"/>
        <v>4.9951060425580562E-2</v>
      </c>
      <c r="BB65" s="25">
        <f>VLOOKUP(AZ65,'Hazard Weighting Functions'!$B$5:$G$1205,3,FALSE)</f>
        <v>0.01</v>
      </c>
      <c r="BC65" s="25">
        <f t="shared" si="21"/>
        <v>4.9951060425580565E-4</v>
      </c>
      <c r="BD65" s="25">
        <f t="shared" si="22"/>
        <v>4.9951060425580565E-4</v>
      </c>
      <c r="BF65" s="20">
        <f t="shared" si="33"/>
        <v>530</v>
      </c>
      <c r="BG65" s="20">
        <f t="shared" si="33"/>
        <v>0</v>
      </c>
      <c r="BH65" s="25">
        <f>VLOOKUP(BF65,'Hazard Weighting Functions'!$B$5:$G$1205,4,FALSE)</f>
        <v>1</v>
      </c>
      <c r="BI65" s="25">
        <f t="shared" si="24"/>
        <v>0</v>
      </c>
      <c r="BJ65" s="25">
        <f t="shared" si="25"/>
        <v>0</v>
      </c>
      <c r="BK65" s="1">
        <f t="shared" si="5"/>
        <v>372</v>
      </c>
      <c r="BL65" s="20">
        <f t="shared" si="5"/>
        <v>4.3413246926696319E-2</v>
      </c>
      <c r="BM65" s="25">
        <f>VLOOKUP(BK65,'Hazard Weighting Functions'!$B$5:$G$1205,4,FALSE)</f>
        <v>0</v>
      </c>
      <c r="BN65" s="25">
        <f t="shared" si="26"/>
        <v>0</v>
      </c>
      <c r="BO65" s="25">
        <f t="shared" si="27"/>
        <v>0</v>
      </c>
      <c r="BP65" s="20">
        <f t="shared" si="6"/>
        <v>372</v>
      </c>
      <c r="BQ65" s="20">
        <f t="shared" si="6"/>
        <v>4.9951060425580562E-2</v>
      </c>
      <c r="BR65" s="25">
        <f>VLOOKUP(BP65,'Hazard Weighting Functions'!$B$5:$G$1205,4,FALSE)</f>
        <v>0</v>
      </c>
      <c r="BS65" s="25">
        <f t="shared" si="28"/>
        <v>0</v>
      </c>
      <c r="BT65" s="25">
        <f t="shared" si="29"/>
        <v>0</v>
      </c>
      <c r="BV65" s="25">
        <f>VLOOKUP(BK65,'Hazard Weighting Functions'!$B$5:$G$1205,5,FALSE)</f>
        <v>0</v>
      </c>
      <c r="BW65" s="25">
        <f t="shared" si="30"/>
        <v>0</v>
      </c>
      <c r="BX65" s="25">
        <f t="shared" si="31"/>
        <v>0</v>
      </c>
    </row>
    <row r="66" spans="2:76">
      <c r="B66" s="25">
        <v>274</v>
      </c>
      <c r="C66" s="36">
        <v>1.6249809217072368E-3</v>
      </c>
      <c r="E66" s="25">
        <v>274</v>
      </c>
      <c r="F66" s="36"/>
      <c r="H66" s="25">
        <v>274</v>
      </c>
      <c r="I66" s="36"/>
      <c r="K66" s="25">
        <v>1185</v>
      </c>
      <c r="L66" s="36"/>
      <c r="N66" s="25">
        <v>374</v>
      </c>
      <c r="O66" s="36">
        <v>8.1189832718873867E-2</v>
      </c>
      <c r="Q66" s="25">
        <v>374</v>
      </c>
      <c r="R66" s="36">
        <v>0</v>
      </c>
      <c r="V66" s="25">
        <f t="shared" si="8"/>
        <v>274</v>
      </c>
      <c r="W66" s="25">
        <f t="shared" si="8"/>
        <v>1.6249809217072368E-3</v>
      </c>
      <c r="Y66" s="25">
        <f t="shared" si="9"/>
        <v>274</v>
      </c>
      <c r="Z66" s="25">
        <f t="shared" si="9"/>
        <v>1.6249809217072368E-3</v>
      </c>
      <c r="AA66" s="25">
        <f>VLOOKUP(Y66,'Hazard Weighting Functions'!$B$5:$G$1205,2,FALSE)</f>
        <v>0.96789999999999998</v>
      </c>
      <c r="AB66" s="25">
        <f t="shared" si="10"/>
        <v>1.5728190341204346E-3</v>
      </c>
      <c r="AC66" s="25">
        <f t="shared" si="11"/>
        <v>1.9114451059977452E-3</v>
      </c>
      <c r="AE66" s="25">
        <f>VLOOKUP(Y66,'Hazard Weighting Functions'!$B$5:$G$1205,3,FALSE)</f>
        <v>0</v>
      </c>
      <c r="AF66" s="25">
        <f t="shared" si="12"/>
        <v>0</v>
      </c>
      <c r="AG66" s="25">
        <f t="shared" si="13"/>
        <v>0</v>
      </c>
      <c r="AH66" s="25">
        <f>VLOOKUP(Y66,'Hazard Weighting Functions'!$B$5:$G$1205,5,FALSE)</f>
        <v>0</v>
      </c>
      <c r="AI66" s="25">
        <f t="shared" si="14"/>
        <v>0</v>
      </c>
      <c r="AJ66" s="25">
        <f t="shared" si="15"/>
        <v>0</v>
      </c>
      <c r="AP66" s="20">
        <f>'IEC_EN62471- LED non-GLS'!E116</f>
        <v>374</v>
      </c>
      <c r="AQ66" s="20">
        <f t="shared" si="16"/>
        <v>8.4639803549983711E-2</v>
      </c>
      <c r="AR66" s="25">
        <f>VLOOKUP(AP66,'Hazard Weighting Functions'!$B$5:$G$1205,3,FALSE)</f>
        <v>0.01</v>
      </c>
      <c r="AS66" s="25">
        <f t="shared" si="17"/>
        <v>8.4639803549983717E-4</v>
      </c>
      <c r="AT66" s="25">
        <f t="shared" si="18"/>
        <v>1.773494662654445E-3</v>
      </c>
      <c r="AU66" s="20">
        <f t="shared" si="7"/>
        <v>374</v>
      </c>
      <c r="AV66" s="25">
        <f>O66</f>
        <v>8.1189832718873867E-2</v>
      </c>
      <c r="AW66" s="25">
        <f>VLOOKUP(AU66,'Hazard Weighting Functions'!$B$5:$G$1205,3,FALSE)</f>
        <v>0.01</v>
      </c>
      <c r="AX66" s="25">
        <f t="shared" si="19"/>
        <v>8.1189832718873869E-4</v>
      </c>
      <c r="AY66" s="25">
        <f t="shared" si="20"/>
        <v>3.144147786800445E-3</v>
      </c>
      <c r="AZ66" s="20">
        <f t="shared" si="2"/>
        <v>374</v>
      </c>
      <c r="BA66" s="20">
        <f t="shared" si="2"/>
        <v>0</v>
      </c>
      <c r="BB66" s="25">
        <f>VLOOKUP(AZ66,'Hazard Weighting Functions'!$B$5:$G$1205,3,FALSE)</f>
        <v>0.01</v>
      </c>
      <c r="BC66" s="25">
        <f t="shared" si="21"/>
        <v>0</v>
      </c>
      <c r="BD66" s="25">
        <f t="shared" si="22"/>
        <v>2.1449914441534655E-3</v>
      </c>
      <c r="BF66" s="20">
        <f t="shared" si="33"/>
        <v>535</v>
      </c>
      <c r="BG66" s="20">
        <f t="shared" si="33"/>
        <v>0</v>
      </c>
      <c r="BH66" s="25">
        <f>VLOOKUP(BF66,'Hazard Weighting Functions'!$B$5:$G$1205,4,FALSE)</f>
        <v>1</v>
      </c>
      <c r="BI66" s="25">
        <f t="shared" si="24"/>
        <v>0</v>
      </c>
      <c r="BJ66" s="25">
        <f t="shared" si="25"/>
        <v>0</v>
      </c>
      <c r="BK66" s="1">
        <f t="shared" si="5"/>
        <v>374</v>
      </c>
      <c r="BL66" s="20">
        <f t="shared" si="5"/>
        <v>8.1189832718873867E-2</v>
      </c>
      <c r="BM66" s="25">
        <f>VLOOKUP(BK66,'Hazard Weighting Functions'!$B$5:$G$1205,4,FALSE)</f>
        <v>0</v>
      </c>
      <c r="BN66" s="25">
        <f t="shared" si="26"/>
        <v>0</v>
      </c>
      <c r="BO66" s="25">
        <f t="shared" si="27"/>
        <v>0</v>
      </c>
      <c r="BP66" s="20">
        <f t="shared" si="6"/>
        <v>374</v>
      </c>
      <c r="BQ66" s="20">
        <f t="shared" si="6"/>
        <v>0</v>
      </c>
      <c r="BR66" s="25">
        <f>VLOOKUP(BP66,'Hazard Weighting Functions'!$B$5:$G$1205,4,FALSE)</f>
        <v>0</v>
      </c>
      <c r="BS66" s="25">
        <f t="shared" si="28"/>
        <v>0</v>
      </c>
      <c r="BT66" s="25">
        <f t="shared" si="29"/>
        <v>0</v>
      </c>
      <c r="BV66" s="25">
        <f>VLOOKUP(BK66,'Hazard Weighting Functions'!$B$5:$G$1205,5,FALSE)</f>
        <v>0</v>
      </c>
      <c r="BW66" s="25">
        <f t="shared" si="30"/>
        <v>0</v>
      </c>
      <c r="BX66" s="25">
        <f t="shared" si="31"/>
        <v>0</v>
      </c>
    </row>
    <row r="67" spans="2:76">
      <c r="B67" s="25">
        <v>276</v>
      </c>
      <c r="C67" s="36">
        <v>3.5894220042114762E-4</v>
      </c>
      <c r="E67" s="25">
        <v>276</v>
      </c>
      <c r="F67" s="36"/>
      <c r="H67" s="25">
        <v>276</v>
      </c>
      <c r="I67" s="36"/>
      <c r="K67" s="25">
        <v>1190</v>
      </c>
      <c r="L67" s="36"/>
      <c r="N67" s="25">
        <v>376</v>
      </c>
      <c r="O67" s="36">
        <v>0.23322494596117063</v>
      </c>
      <c r="Q67" s="25">
        <v>376</v>
      </c>
      <c r="R67" s="36">
        <v>0.21449914441534654</v>
      </c>
      <c r="V67" s="25">
        <f t="shared" si="8"/>
        <v>276</v>
      </c>
      <c r="W67" s="25">
        <f t="shared" si="8"/>
        <v>3.5894220042114762E-4</v>
      </c>
      <c r="Y67" s="25">
        <f t="shared" si="9"/>
        <v>276</v>
      </c>
      <c r="Z67" s="25">
        <f t="shared" si="9"/>
        <v>3.5894220042114762E-4</v>
      </c>
      <c r="AA67" s="25">
        <f>VLOOKUP(Y67,'Hazard Weighting Functions'!$B$5:$G$1205,2,FALSE)</f>
        <v>0.94340000000000002</v>
      </c>
      <c r="AB67" s="25">
        <f t="shared" si="10"/>
        <v>3.3862607187731066E-4</v>
      </c>
      <c r="AC67" s="25">
        <f t="shared" si="11"/>
        <v>3.3862607187731066E-4</v>
      </c>
      <c r="AE67" s="25">
        <f>VLOOKUP(Y67,'Hazard Weighting Functions'!$B$5:$G$1205,3,FALSE)</f>
        <v>0</v>
      </c>
      <c r="AF67" s="25">
        <f t="shared" si="12"/>
        <v>0</v>
      </c>
      <c r="AG67" s="25">
        <f t="shared" si="13"/>
        <v>0</v>
      </c>
      <c r="AH67" s="25">
        <f>VLOOKUP(Y67,'Hazard Weighting Functions'!$B$5:$G$1205,5,FALSE)</f>
        <v>0</v>
      </c>
      <c r="AI67" s="25">
        <f t="shared" si="14"/>
        <v>0</v>
      </c>
      <c r="AJ67" s="25">
        <f t="shared" si="15"/>
        <v>0</v>
      </c>
      <c r="AP67" s="20">
        <f>'IEC_EN62471- LED non-GLS'!E117</f>
        <v>376</v>
      </c>
      <c r="AQ67" s="20">
        <f t="shared" si="16"/>
        <v>9.2709662715460786E-2</v>
      </c>
      <c r="AR67" s="25">
        <f>VLOOKUP(AP67,'Hazard Weighting Functions'!$B$5:$G$1205,3,FALSE)</f>
        <v>0.01</v>
      </c>
      <c r="AS67" s="25">
        <f t="shared" si="17"/>
        <v>9.2709662715460784E-4</v>
      </c>
      <c r="AT67" s="25">
        <f t="shared" si="18"/>
        <v>2.0627101637058628E-3</v>
      </c>
      <c r="AU67" s="20">
        <f t="shared" si="7"/>
        <v>376</v>
      </c>
      <c r="AV67" s="25">
        <f>O67</f>
        <v>0.23322494596117063</v>
      </c>
      <c r="AW67" s="25">
        <f>VLOOKUP(AU67,'Hazard Weighting Functions'!$B$5:$G$1205,3,FALSE)</f>
        <v>0.01</v>
      </c>
      <c r="AX67" s="25">
        <f t="shared" si="19"/>
        <v>2.3322494596117065E-3</v>
      </c>
      <c r="AY67" s="25">
        <f t="shared" si="20"/>
        <v>7.740250761150369E-3</v>
      </c>
      <c r="AZ67" s="20">
        <f t="shared" si="2"/>
        <v>376</v>
      </c>
      <c r="BA67" s="20">
        <f t="shared" si="2"/>
        <v>0.21449914441534654</v>
      </c>
      <c r="BB67" s="25">
        <f>VLOOKUP(AZ67,'Hazard Weighting Functions'!$B$5:$G$1205,3,FALSE)</f>
        <v>0.01</v>
      </c>
      <c r="BC67" s="25">
        <f t="shared" si="21"/>
        <v>2.1449914441534655E-3</v>
      </c>
      <c r="BD67" s="25">
        <f t="shared" si="22"/>
        <v>6.2897855510903765E-3</v>
      </c>
      <c r="BF67" s="20">
        <f t="shared" si="33"/>
        <v>540</v>
      </c>
      <c r="BG67" s="20">
        <f t="shared" si="33"/>
        <v>0</v>
      </c>
      <c r="BH67" s="25">
        <f>VLOOKUP(BF67,'Hazard Weighting Functions'!$B$5:$G$1205,4,FALSE)</f>
        <v>1</v>
      </c>
      <c r="BI67" s="25">
        <f t="shared" si="24"/>
        <v>0</v>
      </c>
      <c r="BJ67" s="25">
        <f t="shared" si="25"/>
        <v>0</v>
      </c>
      <c r="BK67" s="1">
        <f t="shared" si="5"/>
        <v>376</v>
      </c>
      <c r="BL67" s="20">
        <f t="shared" si="5"/>
        <v>0.23322494596117063</v>
      </c>
      <c r="BM67" s="25">
        <f>VLOOKUP(BK67,'Hazard Weighting Functions'!$B$5:$G$1205,4,FALSE)</f>
        <v>0</v>
      </c>
      <c r="BN67" s="25">
        <f t="shared" si="26"/>
        <v>0</v>
      </c>
      <c r="BO67" s="25">
        <f t="shared" si="27"/>
        <v>0</v>
      </c>
      <c r="BP67" s="20">
        <f t="shared" si="6"/>
        <v>376</v>
      </c>
      <c r="BQ67" s="20">
        <f t="shared" si="6"/>
        <v>0.21449914441534654</v>
      </c>
      <c r="BR67" s="25">
        <f>VLOOKUP(BP67,'Hazard Weighting Functions'!$B$5:$G$1205,4,FALSE)</f>
        <v>0</v>
      </c>
      <c r="BS67" s="25">
        <f t="shared" si="28"/>
        <v>0</v>
      </c>
      <c r="BT67" s="25">
        <f t="shared" si="29"/>
        <v>0</v>
      </c>
      <c r="BV67" s="25">
        <f>VLOOKUP(BK67,'Hazard Weighting Functions'!$B$5:$G$1205,5,FALSE)</f>
        <v>0</v>
      </c>
      <c r="BW67" s="25">
        <f t="shared" si="30"/>
        <v>0</v>
      </c>
      <c r="BX67" s="25">
        <f t="shared" si="31"/>
        <v>0</v>
      </c>
    </row>
    <row r="68" spans="2:76">
      <c r="B68" s="25">
        <v>278</v>
      </c>
      <c r="C68" s="36">
        <v>0</v>
      </c>
      <c r="E68" s="25">
        <v>278</v>
      </c>
      <c r="F68" s="36"/>
      <c r="H68" s="25">
        <v>278</v>
      </c>
      <c r="I68" s="36"/>
      <c r="K68" s="25">
        <v>1195</v>
      </c>
      <c r="L68" s="36"/>
      <c r="N68" s="25">
        <v>378</v>
      </c>
      <c r="O68" s="36">
        <v>0.54080013015386619</v>
      </c>
      <c r="Q68" s="25">
        <v>378</v>
      </c>
      <c r="R68" s="36">
        <v>0.4144794106936911</v>
      </c>
      <c r="V68" s="25">
        <f t="shared" si="8"/>
        <v>278</v>
      </c>
      <c r="W68" s="25">
        <f t="shared" si="8"/>
        <v>0</v>
      </c>
      <c r="Y68" s="25">
        <f t="shared" si="9"/>
        <v>278</v>
      </c>
      <c r="Z68" s="25">
        <f t="shared" si="9"/>
        <v>0</v>
      </c>
      <c r="AA68" s="25">
        <f>VLOOKUP(Y68,'Hazard Weighting Functions'!$B$5:$G$1205,2,FALSE)</f>
        <v>0.91120000000000001</v>
      </c>
      <c r="AB68" s="25">
        <f t="shared" si="10"/>
        <v>0</v>
      </c>
      <c r="AC68" s="25">
        <f t="shared" si="11"/>
        <v>2.7643662119334754E-3</v>
      </c>
      <c r="AE68" s="25">
        <f>VLOOKUP(Y68,'Hazard Weighting Functions'!$B$5:$G$1205,3,FALSE)</f>
        <v>0</v>
      </c>
      <c r="AF68" s="25">
        <f t="shared" si="12"/>
        <v>0</v>
      </c>
      <c r="AG68" s="25">
        <f t="shared" si="13"/>
        <v>0</v>
      </c>
      <c r="AH68" s="25">
        <f>VLOOKUP(Y68,'Hazard Weighting Functions'!$B$5:$G$1205,5,FALSE)</f>
        <v>0</v>
      </c>
      <c r="AI68" s="25">
        <f t="shared" si="14"/>
        <v>0</v>
      </c>
      <c r="AJ68" s="25">
        <f t="shared" si="15"/>
        <v>0</v>
      </c>
      <c r="AP68" s="20">
        <f>'IEC_EN62471- LED non-GLS'!E118</f>
        <v>378</v>
      </c>
      <c r="AQ68" s="20">
        <f t="shared" si="16"/>
        <v>0.11356135365512547</v>
      </c>
      <c r="AR68" s="25">
        <f>VLOOKUP(AP68,'Hazard Weighting Functions'!$B$5:$G$1205,3,FALSE)</f>
        <v>0.01</v>
      </c>
      <c r="AS68" s="25">
        <f t="shared" si="17"/>
        <v>1.1356135365512548E-3</v>
      </c>
      <c r="AT68" s="25">
        <f t="shared" si="18"/>
        <v>2.1822731458579613E-3</v>
      </c>
      <c r="AU68" s="20">
        <f t="shared" si="7"/>
        <v>378</v>
      </c>
      <c r="AV68" s="25">
        <f>O68</f>
        <v>0.54080013015386619</v>
      </c>
      <c r="AW68" s="25">
        <f>VLOOKUP(AU68,'Hazard Weighting Functions'!$B$5:$G$1205,3,FALSE)</f>
        <v>0.01</v>
      </c>
      <c r="AX68" s="25">
        <f t="shared" si="19"/>
        <v>5.408001301538662E-3</v>
      </c>
      <c r="AY68" s="25">
        <f t="shared" si="20"/>
        <v>1.6833423132707911E-2</v>
      </c>
      <c r="AZ68" s="20">
        <f t="shared" si="2"/>
        <v>378</v>
      </c>
      <c r="BA68" s="20">
        <f t="shared" si="2"/>
        <v>0.4144794106936911</v>
      </c>
      <c r="BB68" s="25">
        <f>VLOOKUP(AZ68,'Hazard Weighting Functions'!$B$5:$G$1205,3,FALSE)</f>
        <v>0.01</v>
      </c>
      <c r="BC68" s="25">
        <f t="shared" si="21"/>
        <v>4.144794106936911E-3</v>
      </c>
      <c r="BD68" s="25">
        <f t="shared" si="22"/>
        <v>1.4397676551023749E-2</v>
      </c>
      <c r="BF68" s="20">
        <f t="shared" si="33"/>
        <v>545</v>
      </c>
      <c r="BG68" s="20">
        <f t="shared" si="33"/>
        <v>0</v>
      </c>
      <c r="BH68" s="25">
        <f>VLOOKUP(BF68,'Hazard Weighting Functions'!$B$5:$G$1205,4,FALSE)</f>
        <v>1</v>
      </c>
      <c r="BI68" s="25">
        <f t="shared" si="24"/>
        <v>0</v>
      </c>
      <c r="BJ68" s="25">
        <f t="shared" si="25"/>
        <v>0</v>
      </c>
      <c r="BK68" s="1">
        <f t="shared" si="5"/>
        <v>378</v>
      </c>
      <c r="BL68" s="20">
        <f t="shared" si="5"/>
        <v>0.54080013015386619</v>
      </c>
      <c r="BM68" s="25">
        <f>VLOOKUP(BK68,'Hazard Weighting Functions'!$B$5:$G$1205,4,FALSE)</f>
        <v>0</v>
      </c>
      <c r="BN68" s="25">
        <f t="shared" si="26"/>
        <v>0</v>
      </c>
      <c r="BO68" s="25">
        <f>0.5*(BK69-BK68)*(BN68+BN69)</f>
        <v>0.1142542183116925</v>
      </c>
      <c r="BP68" s="20">
        <f t="shared" si="6"/>
        <v>378</v>
      </c>
      <c r="BQ68" s="20">
        <f t="shared" si="6"/>
        <v>0.4144794106936911</v>
      </c>
      <c r="BR68" s="25">
        <f>VLOOKUP(BP68,'Hazard Weighting Functions'!$B$5:$G$1205,4,FALSE)</f>
        <v>0</v>
      </c>
      <c r="BS68" s="25">
        <f t="shared" si="28"/>
        <v>0</v>
      </c>
      <c r="BT68" s="25">
        <f t="shared" si="29"/>
        <v>0.10252882444086837</v>
      </c>
      <c r="BV68" s="25">
        <f>VLOOKUP(BK68,'Hazard Weighting Functions'!$B$5:$G$1205,5,FALSE)</f>
        <v>0</v>
      </c>
      <c r="BW68" s="25">
        <f t="shared" si="30"/>
        <v>0</v>
      </c>
      <c r="BX68" s="25">
        <f t="shared" si="31"/>
        <v>4.4559145141560071E-5</v>
      </c>
    </row>
    <row r="69" spans="2:76">
      <c r="B69" s="25">
        <v>280</v>
      </c>
      <c r="C69" s="36">
        <v>3.141325240833495E-3</v>
      </c>
      <c r="E69" s="25">
        <v>280</v>
      </c>
      <c r="F69" s="36"/>
      <c r="H69" s="25">
        <v>280</v>
      </c>
      <c r="I69" s="36"/>
      <c r="K69" s="25">
        <v>1200</v>
      </c>
      <c r="L69" s="36"/>
      <c r="N69" s="25">
        <v>380</v>
      </c>
      <c r="O69" s="36">
        <v>1.1425421831169249</v>
      </c>
      <c r="Q69" s="25">
        <v>380</v>
      </c>
      <c r="R69" s="36">
        <v>1.0252882444086837</v>
      </c>
      <c r="V69" s="25">
        <f t="shared" si="8"/>
        <v>280</v>
      </c>
      <c r="W69" s="25">
        <f t="shared" si="8"/>
        <v>3.141325240833495E-3</v>
      </c>
      <c r="Y69" s="25">
        <f t="shared" si="9"/>
        <v>280</v>
      </c>
      <c r="Z69" s="25">
        <f t="shared" si="9"/>
        <v>3.141325240833495E-3</v>
      </c>
      <c r="AA69" s="25">
        <f>VLOOKUP(Y69,'Hazard Weighting Functions'!$B$5:$G$1205,2,FALSE)</f>
        <v>0.88</v>
      </c>
      <c r="AB69" s="25">
        <f t="shared" si="10"/>
        <v>2.7643662119334754E-3</v>
      </c>
      <c r="AC69" s="25">
        <f t="shared" si="11"/>
        <v>6.1014400879205836E-3</v>
      </c>
      <c r="AE69" s="25">
        <f>VLOOKUP(Y69,'Hazard Weighting Functions'!$B$5:$G$1205,3,FALSE)</f>
        <v>0</v>
      </c>
      <c r="AF69" s="25">
        <f t="shared" si="12"/>
        <v>0</v>
      </c>
      <c r="AG69" s="25">
        <f t="shared" si="13"/>
        <v>0</v>
      </c>
      <c r="AH69" s="25">
        <f>VLOOKUP(Y69,'Hazard Weighting Functions'!$B$5:$G$1205,5,FALSE)</f>
        <v>0</v>
      </c>
      <c r="AI69" s="25">
        <f t="shared" si="14"/>
        <v>0</v>
      </c>
      <c r="AJ69" s="25">
        <f t="shared" si="15"/>
        <v>0</v>
      </c>
      <c r="AP69" s="20">
        <f>'IEC_EN62471- LED non-GLS'!E119</f>
        <v>380</v>
      </c>
      <c r="AQ69" s="20">
        <f t="shared" si="16"/>
        <v>0.10466596093067064</v>
      </c>
      <c r="AR69" s="25">
        <f>VLOOKUP(AP69,'Hazard Weighting Functions'!$B$5:$G$1205,3,FALSE)</f>
        <v>0.01</v>
      </c>
      <c r="AS69" s="25">
        <f t="shared" si="17"/>
        <v>1.0466596093067063E-3</v>
      </c>
      <c r="AT69" s="25">
        <f t="shared" si="18"/>
        <v>1.9756934799481638E-3</v>
      </c>
      <c r="AU69" s="20">
        <f t="shared" si="7"/>
        <v>380</v>
      </c>
      <c r="AV69" s="25">
        <f>O69</f>
        <v>1.1425421831169249</v>
      </c>
      <c r="AW69" s="25">
        <f>VLOOKUP(AU69,'Hazard Weighting Functions'!$B$5:$G$1205,3,FALSE)</f>
        <v>0.01</v>
      </c>
      <c r="AX69" s="25">
        <f t="shared" si="19"/>
        <v>1.142542183116925E-2</v>
      </c>
      <c r="AY69" s="25">
        <f t="shared" si="20"/>
        <v>3.9549842578393994E-2</v>
      </c>
      <c r="AZ69" s="20">
        <f t="shared" si="2"/>
        <v>380</v>
      </c>
      <c r="BA69" s="20">
        <f t="shared" si="2"/>
        <v>1.0252882444086837</v>
      </c>
      <c r="BB69" s="25">
        <f>VLOOKUP(AZ69,'Hazard Weighting Functions'!$B$5:$G$1205,3,FALSE)</f>
        <v>0.01</v>
      </c>
      <c r="BC69" s="25">
        <f t="shared" si="21"/>
        <v>1.0252882444086838E-2</v>
      </c>
      <c r="BD69" s="25">
        <f t="shared" si="22"/>
        <v>3.8261569406320049E-2</v>
      </c>
      <c r="BF69" s="20">
        <f t="shared" si="33"/>
        <v>550</v>
      </c>
      <c r="BG69" s="20">
        <f t="shared" si="33"/>
        <v>0</v>
      </c>
      <c r="BH69" s="25">
        <f>VLOOKUP(BF69,'Hazard Weighting Functions'!$B$5:$G$1205,4,FALSE)</f>
        <v>1</v>
      </c>
      <c r="BI69" s="25">
        <f t="shared" si="24"/>
        <v>0</v>
      </c>
      <c r="BJ69" s="25">
        <f t="shared" si="25"/>
        <v>0</v>
      </c>
      <c r="BK69" s="1">
        <f t="shared" si="5"/>
        <v>380</v>
      </c>
      <c r="BL69" s="20">
        <f t="shared" si="5"/>
        <v>1.1425421831169249</v>
      </c>
      <c r="BM69" s="25">
        <f>VLOOKUP(BK69,'Hazard Weighting Functions'!$B$5:$G$1205,4,FALSE)</f>
        <v>0.1</v>
      </c>
      <c r="BN69" s="25">
        <f t="shared" si="26"/>
        <v>0.1142542183116925</v>
      </c>
      <c r="BO69" s="25">
        <f t="shared" ref="BO69:BO132" si="34">0.5*(BK70-BK69)*(BN69+BN70)</f>
        <v>0.39549842831618798</v>
      </c>
      <c r="BP69" s="20">
        <f t="shared" si="6"/>
        <v>380</v>
      </c>
      <c r="BQ69" s="20">
        <f t="shared" si="6"/>
        <v>1.0252882444086837</v>
      </c>
      <c r="BR69" s="25">
        <f>VLOOKUP(BP69,'Hazard Weighting Functions'!$B$5:$G$1205,4,FALSE)</f>
        <v>0.1</v>
      </c>
      <c r="BS69" s="25">
        <f t="shared" si="28"/>
        <v>0.10252882444086837</v>
      </c>
      <c r="BT69" s="25">
        <f t="shared" si="29"/>
        <v>0.38261569658502814</v>
      </c>
      <c r="BV69" s="25">
        <f>VLOOKUP(BK69,'Hazard Weighting Functions'!$B$5:$G$1205,5,FALSE)</f>
        <v>3.8999999999999999E-5</v>
      </c>
      <c r="BW69" s="25">
        <f t="shared" si="30"/>
        <v>4.4559145141560071E-5</v>
      </c>
      <c r="BX69" s="25">
        <f t="shared" si="31"/>
        <v>1.657095391859499E-4</v>
      </c>
    </row>
    <row r="70" spans="2:76">
      <c r="B70" s="25">
        <v>282</v>
      </c>
      <c r="C70" s="36">
        <v>4.0003283097423976E-3</v>
      </c>
      <c r="E70" s="25">
        <v>282</v>
      </c>
      <c r="F70" s="36"/>
      <c r="H70" s="25">
        <v>282</v>
      </c>
      <c r="I70" s="36"/>
      <c r="K70" s="25">
        <v>1205</v>
      </c>
      <c r="L70" s="36"/>
      <c r="N70" s="25">
        <v>382</v>
      </c>
      <c r="O70" s="36">
        <v>2.5322480664908427</v>
      </c>
      <c r="Q70" s="25">
        <v>382</v>
      </c>
      <c r="R70" s="36">
        <v>2.5218277042047537</v>
      </c>
      <c r="V70" s="25">
        <f t="shared" si="8"/>
        <v>282</v>
      </c>
      <c r="W70" s="25">
        <f t="shared" si="8"/>
        <v>4.0003283097423976E-3</v>
      </c>
      <c r="Y70" s="25">
        <f t="shared" si="9"/>
        <v>282</v>
      </c>
      <c r="Z70" s="25">
        <f t="shared" si="9"/>
        <v>4.0003283097423976E-3</v>
      </c>
      <c r="AA70" s="25">
        <f>VLOOKUP(Y70,'Hazard Weighting Functions'!$B$5:$G$1205,2,FALSE)</f>
        <v>0.83420000000000005</v>
      </c>
      <c r="AB70" s="25">
        <f t="shared" si="10"/>
        <v>3.3370738759871082E-3</v>
      </c>
      <c r="AC70" s="25">
        <f t="shared" si="11"/>
        <v>4.9907125464448039E-3</v>
      </c>
      <c r="AE70" s="25">
        <f>VLOOKUP(Y70,'Hazard Weighting Functions'!$B$5:$G$1205,3,FALSE)</f>
        <v>0</v>
      </c>
      <c r="AF70" s="25">
        <f t="shared" si="12"/>
        <v>0</v>
      </c>
      <c r="AG70" s="25">
        <f t="shared" si="13"/>
        <v>0</v>
      </c>
      <c r="AH70" s="25">
        <f>VLOOKUP(Y70,'Hazard Weighting Functions'!$B$5:$G$1205,5,FALSE)</f>
        <v>0</v>
      </c>
      <c r="AI70" s="25">
        <f t="shared" si="14"/>
        <v>0</v>
      </c>
      <c r="AJ70" s="25">
        <f t="shared" si="15"/>
        <v>0</v>
      </c>
      <c r="AP70" s="20">
        <f>'IEC_EN62471- LED non-GLS'!E120</f>
        <v>382</v>
      </c>
      <c r="AQ70" s="20">
        <f t="shared" si="16"/>
        <v>8.3647739584769176E-2</v>
      </c>
      <c r="AR70" s="25">
        <f>VLOOKUP(AP70,'Hazard Weighting Functions'!$B$5:$G$1205,3,FALSE)</f>
        <v>1.1106503E-2</v>
      </c>
      <c r="AS70" s="25">
        <f t="shared" si="17"/>
        <v>9.2903387064145759E-4</v>
      </c>
      <c r="AT70" s="25">
        <f t="shared" si="18"/>
        <v>1.9935688227284711E-3</v>
      </c>
      <c r="AU70" s="20">
        <f t="shared" si="7"/>
        <v>382</v>
      </c>
      <c r="AV70" s="25">
        <f>O70</f>
        <v>2.5322480664908427</v>
      </c>
      <c r="AW70" s="25">
        <f>VLOOKUP(AU70,'Hazard Weighting Functions'!$B$5:$G$1205,3,FALSE)</f>
        <v>1.1106503E-2</v>
      </c>
      <c r="AX70" s="25">
        <f t="shared" si="19"/>
        <v>2.8124420747224745E-2</v>
      </c>
      <c r="AY70" s="25">
        <f t="shared" si="20"/>
        <v>9.8526005999820199E-2</v>
      </c>
      <c r="AZ70" s="20">
        <f t="shared" si="2"/>
        <v>382</v>
      </c>
      <c r="BA70" s="20">
        <f t="shared" si="2"/>
        <v>2.5218277042047537</v>
      </c>
      <c r="BB70" s="25">
        <f>VLOOKUP(AZ70,'Hazard Weighting Functions'!$B$5:$G$1205,3,FALSE)</f>
        <v>1.1106503E-2</v>
      </c>
      <c r="BC70" s="25">
        <f t="shared" si="21"/>
        <v>2.8008686962233211E-2</v>
      </c>
      <c r="BD70" s="25">
        <f t="shared" si="22"/>
        <v>9.8629505103143972E-2</v>
      </c>
      <c r="BF70" s="20">
        <f t="shared" si="33"/>
        <v>555</v>
      </c>
      <c r="BG70" s="20">
        <f t="shared" si="33"/>
        <v>0</v>
      </c>
      <c r="BH70" s="25">
        <f>VLOOKUP(BF70,'Hazard Weighting Functions'!$B$5:$G$1205,4,FALSE)</f>
        <v>1</v>
      </c>
      <c r="BI70" s="25">
        <f t="shared" si="24"/>
        <v>0</v>
      </c>
      <c r="BJ70" s="25">
        <f t="shared" si="25"/>
        <v>0</v>
      </c>
      <c r="BK70" s="1">
        <f t="shared" si="5"/>
        <v>382</v>
      </c>
      <c r="BL70" s="20">
        <f t="shared" si="5"/>
        <v>2.5322480664908427</v>
      </c>
      <c r="BM70" s="25">
        <f>VLOOKUP(BK70,'Hazard Weighting Functions'!$B$5:$G$1205,4,FALSE)</f>
        <v>0.11106503099999999</v>
      </c>
      <c r="BN70" s="25">
        <f t="shared" si="26"/>
        <v>0.28124421000449551</v>
      </c>
      <c r="BO70" s="25">
        <f t="shared" si="34"/>
        <v>0.98526006253044995</v>
      </c>
      <c r="BP70" s="20">
        <f t="shared" si="6"/>
        <v>382</v>
      </c>
      <c r="BQ70" s="20">
        <f t="shared" si="6"/>
        <v>2.5218277042047537</v>
      </c>
      <c r="BR70" s="25">
        <f>VLOOKUP(BP70,'Hazard Weighting Functions'!$B$5:$G$1205,4,FALSE)</f>
        <v>0.11106503099999999</v>
      </c>
      <c r="BS70" s="25">
        <f t="shared" si="28"/>
        <v>0.28008687214415978</v>
      </c>
      <c r="BT70" s="25">
        <f t="shared" si="29"/>
        <v>0.9862950535532673</v>
      </c>
      <c r="BV70" s="25">
        <f>VLOOKUP(BK70,'Hazard Weighting Functions'!$B$5:$G$1205,5,FALSE)</f>
        <v>4.784301966603079E-5</v>
      </c>
      <c r="BW70" s="25">
        <f t="shared" si="30"/>
        <v>1.2115039404438983E-4</v>
      </c>
      <c r="BX70" s="25">
        <f t="shared" si="31"/>
        <v>4.4907455963196668E-4</v>
      </c>
    </row>
    <row r="71" spans="2:76">
      <c r="B71" s="25">
        <v>284</v>
      </c>
      <c r="C71" s="36">
        <v>2.0910959413981993E-3</v>
      </c>
      <c r="E71" s="25">
        <v>284</v>
      </c>
      <c r="F71" s="36"/>
      <c r="H71" s="25">
        <v>284</v>
      </c>
      <c r="I71" s="36"/>
      <c r="K71" s="25">
        <v>1210</v>
      </c>
      <c r="L71" s="36"/>
      <c r="N71" s="25">
        <v>384</v>
      </c>
      <c r="O71" s="36">
        <v>5.7072613174182782</v>
      </c>
      <c r="Q71" s="25">
        <v>384</v>
      </c>
      <c r="R71" s="36">
        <v>5.725033919817764</v>
      </c>
      <c r="V71" s="25">
        <f t="shared" si="8"/>
        <v>284</v>
      </c>
      <c r="W71" s="25">
        <f t="shared" si="8"/>
        <v>2.0910959413981993E-3</v>
      </c>
      <c r="Y71" s="25">
        <f t="shared" si="9"/>
        <v>284</v>
      </c>
      <c r="Z71" s="25">
        <f t="shared" si="9"/>
        <v>2.0910959413981993E-3</v>
      </c>
      <c r="AA71" s="25">
        <f>VLOOKUP(Y71,'Hazard Weighting Functions'!$B$5:$G$1205,2,FALSE)</f>
        <v>0.79079999999999995</v>
      </c>
      <c r="AB71" s="25">
        <f t="shared" si="10"/>
        <v>1.6536386704576959E-3</v>
      </c>
      <c r="AC71" s="25">
        <f t="shared" si="11"/>
        <v>2.7035333890701057E-3</v>
      </c>
      <c r="AE71" s="25">
        <f>VLOOKUP(Y71,'Hazard Weighting Functions'!$B$5:$G$1205,3,FALSE)</f>
        <v>0</v>
      </c>
      <c r="AF71" s="25">
        <f t="shared" si="12"/>
        <v>0</v>
      </c>
      <c r="AG71" s="25">
        <f t="shared" si="13"/>
        <v>0</v>
      </c>
      <c r="AH71" s="25">
        <f>VLOOKUP(Y71,'Hazard Weighting Functions'!$B$5:$G$1205,5,FALSE)</f>
        <v>0</v>
      </c>
      <c r="AI71" s="25">
        <f t="shared" si="14"/>
        <v>0</v>
      </c>
      <c r="AJ71" s="25">
        <f t="shared" si="15"/>
        <v>0</v>
      </c>
      <c r="AP71" s="20">
        <f>'IEC_EN62471- LED non-GLS'!E121</f>
        <v>384</v>
      </c>
      <c r="AQ71" s="20">
        <f t="shared" si="16"/>
        <v>8.629889698203845E-2</v>
      </c>
      <c r="AR71" s="25">
        <f>VLOOKUP(AP71,'Hazard Weighting Functions'!$B$5:$G$1205,3,FALSE)</f>
        <v>1.2335441000000001E-2</v>
      </c>
      <c r="AS71" s="25">
        <f t="shared" si="17"/>
        <v>1.0645349520870134E-3</v>
      </c>
      <c r="AT71" s="25">
        <f t="shared" si="18"/>
        <v>2.6316156752913171E-3</v>
      </c>
      <c r="AU71" s="20">
        <f t="shared" si="7"/>
        <v>384</v>
      </c>
      <c r="AV71" s="25">
        <f>O71</f>
        <v>5.7072613174182782</v>
      </c>
      <c r="AW71" s="25">
        <f>VLOOKUP(AU71,'Hazard Weighting Functions'!$B$5:$G$1205,3,FALSE)</f>
        <v>1.2335441000000001E-2</v>
      </c>
      <c r="AX71" s="25">
        <f t="shared" si="19"/>
        <v>7.0401585252595447E-2</v>
      </c>
      <c r="AY71" s="25">
        <f t="shared" si="20"/>
        <v>0.25498454366338463</v>
      </c>
      <c r="AZ71" s="20">
        <f t="shared" si="2"/>
        <v>384</v>
      </c>
      <c r="BA71" s="20">
        <f t="shared" si="2"/>
        <v>5.725033919817764</v>
      </c>
      <c r="BB71" s="25">
        <f>VLOOKUP(AZ71,'Hazard Weighting Functions'!$B$5:$G$1205,3,FALSE)</f>
        <v>1.2335441000000001E-2</v>
      </c>
      <c r="BC71" s="25">
        <f t="shared" si="21"/>
        <v>7.0620818140910757E-2</v>
      </c>
      <c r="BD71" s="25">
        <f t="shared" si="22"/>
        <v>0.2681764915122018</v>
      </c>
      <c r="BF71" s="20">
        <f t="shared" si="33"/>
        <v>560</v>
      </c>
      <c r="BG71" s="20">
        <f t="shared" si="33"/>
        <v>0</v>
      </c>
      <c r="BH71" s="25">
        <f>VLOOKUP(BF71,'Hazard Weighting Functions'!$B$5:$G$1205,4,FALSE)</f>
        <v>1</v>
      </c>
      <c r="BI71" s="25">
        <f t="shared" si="24"/>
        <v>0</v>
      </c>
      <c r="BJ71" s="25">
        <f t="shared" si="25"/>
        <v>0</v>
      </c>
      <c r="BK71" s="1">
        <f t="shared" si="5"/>
        <v>384</v>
      </c>
      <c r="BL71" s="20">
        <f t="shared" si="5"/>
        <v>5.7072613174182782</v>
      </c>
      <c r="BM71" s="25">
        <f>VLOOKUP(BK71,'Hazard Weighting Functions'!$B$5:$G$1205,4,FALSE)</f>
        <v>0.12335441</v>
      </c>
      <c r="BN71" s="25">
        <f t="shared" si="26"/>
        <v>0.70401585252595444</v>
      </c>
      <c r="BO71" s="25">
        <f t="shared" si="34"/>
        <v>2.5498453868017794</v>
      </c>
      <c r="BP71" s="20">
        <f t="shared" si="6"/>
        <v>384</v>
      </c>
      <c r="BQ71" s="20">
        <f t="shared" si="6"/>
        <v>5.725033919817764</v>
      </c>
      <c r="BR71" s="25">
        <f>VLOOKUP(BP71,'Hazard Weighting Functions'!$B$5:$G$1205,4,FALSE)</f>
        <v>0.12335441</v>
      </c>
      <c r="BS71" s="25">
        <f t="shared" si="28"/>
        <v>0.70620818140910757</v>
      </c>
      <c r="BT71" s="25">
        <f t="shared" si="29"/>
        <v>2.6817648617876926</v>
      </c>
      <c r="BV71" s="25">
        <f>VLOOKUP(BK71,'Hazard Weighting Functions'!$B$5:$G$1205,5,FALSE)</f>
        <v>5.7457359554707719E-5</v>
      </c>
      <c r="BW71" s="25">
        <f t="shared" si="30"/>
        <v>3.2792416558757685E-4</v>
      </c>
      <c r="BX71" s="25">
        <f t="shared" si="31"/>
        <v>1.2290533857991465E-3</v>
      </c>
    </row>
    <row r="72" spans="2:76">
      <c r="B72" s="25">
        <v>286</v>
      </c>
      <c r="C72" s="36">
        <v>1.4149524509601209E-3</v>
      </c>
      <c r="E72" s="25">
        <v>286</v>
      </c>
      <c r="F72" s="36"/>
      <c r="H72" s="25">
        <v>286</v>
      </c>
      <c r="I72" s="36"/>
      <c r="K72" s="25">
        <v>1215</v>
      </c>
      <c r="L72" s="36"/>
      <c r="N72" s="25">
        <v>386</v>
      </c>
      <c r="O72" s="36">
        <v>12.458016684942979</v>
      </c>
      <c r="Q72" s="25">
        <v>386</v>
      </c>
      <c r="R72" s="36">
        <v>13.33358125936739</v>
      </c>
      <c r="V72" s="25">
        <f t="shared" si="8"/>
        <v>286</v>
      </c>
      <c r="W72" s="25">
        <f t="shared" si="8"/>
        <v>1.4149524509601209E-3</v>
      </c>
      <c r="Y72" s="25">
        <f t="shared" si="9"/>
        <v>286</v>
      </c>
      <c r="Z72" s="25">
        <f t="shared" si="9"/>
        <v>1.4149524509601209E-3</v>
      </c>
      <c r="AA72" s="25">
        <f>VLOOKUP(Y72,'Hazard Weighting Functions'!$B$5:$G$1205,2,FALSE)</f>
        <v>0.74199999999999999</v>
      </c>
      <c r="AB72" s="25">
        <f t="shared" si="10"/>
        <v>1.0498947186124098E-3</v>
      </c>
      <c r="AC72" s="25">
        <f t="shared" si="11"/>
        <v>2.2275979883175125E-3</v>
      </c>
      <c r="AE72" s="25">
        <f>VLOOKUP(Y72,'Hazard Weighting Functions'!$B$5:$G$1205,3,FALSE)</f>
        <v>0</v>
      </c>
      <c r="AF72" s="25">
        <f t="shared" si="12"/>
        <v>0</v>
      </c>
      <c r="AG72" s="25">
        <f t="shared" si="13"/>
        <v>0</v>
      </c>
      <c r="AH72" s="25">
        <f>VLOOKUP(Y72,'Hazard Weighting Functions'!$B$5:$G$1205,5,FALSE)</f>
        <v>0</v>
      </c>
      <c r="AI72" s="25">
        <f t="shared" si="14"/>
        <v>0</v>
      </c>
      <c r="AJ72" s="25">
        <f t="shared" si="15"/>
        <v>0</v>
      </c>
      <c r="AP72" s="20">
        <f>'IEC_EN62471- LED non-GLS'!E122</f>
        <v>386</v>
      </c>
      <c r="AQ72" s="20">
        <f t="shared" si="16"/>
        <v>0.10576663178668934</v>
      </c>
      <c r="AR72" s="25">
        <f>VLOOKUP(AP72,'Hazard Weighting Functions'!$B$5:$G$1205,3,FALSE)</f>
        <v>1.48164E-2</v>
      </c>
      <c r="AS72" s="25">
        <f t="shared" si="17"/>
        <v>1.5670807232043039E-3</v>
      </c>
      <c r="AT72" s="25">
        <f t="shared" si="18"/>
        <v>3.7952537410933926E-3</v>
      </c>
      <c r="AU72" s="20">
        <f t="shared" si="7"/>
        <v>386</v>
      </c>
      <c r="AV72" s="25">
        <f>O72</f>
        <v>12.458016684942979</v>
      </c>
      <c r="AW72" s="25">
        <f>VLOOKUP(AU72,'Hazard Weighting Functions'!$B$5:$G$1205,3,FALSE)</f>
        <v>1.48164E-2</v>
      </c>
      <c r="AX72" s="25">
        <f t="shared" si="19"/>
        <v>0.18458295841078917</v>
      </c>
      <c r="AY72" s="25">
        <f t="shared" si="20"/>
        <v>0.67682271108296876</v>
      </c>
      <c r="AZ72" s="20">
        <f t="shared" si="2"/>
        <v>386</v>
      </c>
      <c r="BA72" s="20">
        <f t="shared" si="2"/>
        <v>13.33358125936739</v>
      </c>
      <c r="BB72" s="25">
        <f>VLOOKUP(AZ72,'Hazard Weighting Functions'!$B$5:$G$1205,3,FALSE)</f>
        <v>1.48164E-2</v>
      </c>
      <c r="BC72" s="25">
        <f t="shared" si="21"/>
        <v>0.19755567337129101</v>
      </c>
      <c r="BD72" s="25">
        <f t="shared" si="22"/>
        <v>0.74605141932053487</v>
      </c>
      <c r="BF72" s="20">
        <f t="shared" si="33"/>
        <v>565</v>
      </c>
      <c r="BG72" s="20">
        <f t="shared" si="33"/>
        <v>0</v>
      </c>
      <c r="BH72" s="25">
        <f>VLOOKUP(BF72,'Hazard Weighting Functions'!$B$5:$G$1205,4,FALSE)</f>
        <v>1</v>
      </c>
      <c r="BI72" s="25">
        <f t="shared" si="24"/>
        <v>0</v>
      </c>
      <c r="BJ72" s="25">
        <f t="shared" si="25"/>
        <v>0</v>
      </c>
      <c r="BK72" s="1">
        <f t="shared" si="5"/>
        <v>386</v>
      </c>
      <c r="BL72" s="20">
        <f t="shared" si="5"/>
        <v>12.458016684942979</v>
      </c>
      <c r="BM72" s="25">
        <f>VLOOKUP(BK72,'Hazard Weighting Functions'!$B$5:$G$1205,4,FALSE)</f>
        <v>0.14816399599999999</v>
      </c>
      <c r="BN72" s="25">
        <f t="shared" si="26"/>
        <v>1.8458295342758249</v>
      </c>
      <c r="BO72" s="25">
        <f t="shared" si="34"/>
        <v>6.7682271377261012</v>
      </c>
      <c r="BP72" s="20">
        <f t="shared" si="6"/>
        <v>386</v>
      </c>
      <c r="BQ72" s="20">
        <f t="shared" si="6"/>
        <v>13.33358125936739</v>
      </c>
      <c r="BR72" s="25">
        <f>VLOOKUP(BP72,'Hazard Weighting Functions'!$B$5:$G$1205,4,FALSE)</f>
        <v>0.14816399599999999</v>
      </c>
      <c r="BS72" s="25">
        <f t="shared" si="28"/>
        <v>1.9755566803785849</v>
      </c>
      <c r="BT72" s="25">
        <f t="shared" si="29"/>
        <v>7.4605142253684775</v>
      </c>
      <c r="BV72" s="25">
        <f>VLOOKUP(BK72,'Hazard Weighting Functions'!$B$5:$G$1205,5,FALSE)</f>
        <v>7.2333280890584555E-5</v>
      </c>
      <c r="BW72" s="25">
        <f t="shared" si="30"/>
        <v>9.0112922021156954E-4</v>
      </c>
      <c r="BX72" s="25">
        <f t="shared" si="31"/>
        <v>3.3000416529456295E-3</v>
      </c>
    </row>
    <row r="73" spans="2:76">
      <c r="B73" s="25">
        <v>288</v>
      </c>
      <c r="C73" s="36">
        <v>1.7090455227181866E-3</v>
      </c>
      <c r="E73" s="25">
        <v>288</v>
      </c>
      <c r="F73" s="36"/>
      <c r="H73" s="25">
        <v>288</v>
      </c>
      <c r="I73" s="36"/>
      <c r="K73" s="25">
        <v>1220</v>
      </c>
      <c r="L73" s="36"/>
      <c r="N73" s="25">
        <v>388</v>
      </c>
      <c r="O73" s="36">
        <v>25.576160281517659</v>
      </c>
      <c r="Q73" s="25">
        <v>388</v>
      </c>
      <c r="R73" s="36">
        <v>28.499151147329332</v>
      </c>
      <c r="V73" s="25">
        <f t="shared" si="8"/>
        <v>288</v>
      </c>
      <c r="W73" s="25">
        <f t="shared" si="8"/>
        <v>1.7090455227181866E-3</v>
      </c>
      <c r="Y73" s="25">
        <f t="shared" si="9"/>
        <v>288</v>
      </c>
      <c r="Z73" s="25">
        <f t="shared" si="9"/>
        <v>1.7090455227181866E-3</v>
      </c>
      <c r="AA73" s="25">
        <f>VLOOKUP(Y73,'Hazard Weighting Functions'!$B$5:$G$1205,2,FALSE)</f>
        <v>0.68910000000000005</v>
      </c>
      <c r="AB73" s="25">
        <f t="shared" si="10"/>
        <v>1.1777032697051024E-3</v>
      </c>
      <c r="AC73" s="25">
        <f t="shared" si="11"/>
        <v>1.8932420758748019E-3</v>
      </c>
      <c r="AE73" s="25">
        <f>VLOOKUP(Y73,'Hazard Weighting Functions'!$B$5:$G$1205,3,FALSE)</f>
        <v>0</v>
      </c>
      <c r="AF73" s="25">
        <f t="shared" si="12"/>
        <v>0</v>
      </c>
      <c r="AG73" s="25">
        <f t="shared" si="13"/>
        <v>0</v>
      </c>
      <c r="AH73" s="25">
        <f>VLOOKUP(Y73,'Hazard Weighting Functions'!$B$5:$G$1205,5,FALSE)</f>
        <v>0</v>
      </c>
      <c r="AI73" s="25">
        <f t="shared" si="14"/>
        <v>0</v>
      </c>
      <c r="AJ73" s="25">
        <f t="shared" si="15"/>
        <v>0</v>
      </c>
      <c r="AP73" s="20">
        <f>'IEC_EN62471- LED non-GLS'!E123</f>
        <v>388</v>
      </c>
      <c r="AQ73" s="20">
        <f t="shared" si="16"/>
        <v>0.11577307588653252</v>
      </c>
      <c r="AR73" s="25">
        <f>VLOOKUP(AP73,'Hazard Weighting Functions'!$B$5:$G$1205,3,FALSE)</f>
        <v>1.9246038E-2</v>
      </c>
      <c r="AS73" s="25">
        <f t="shared" si="17"/>
        <v>2.2281730178890886E-3</v>
      </c>
      <c r="AT73" s="25">
        <f t="shared" si="18"/>
        <v>6.1856185576757558E-3</v>
      </c>
      <c r="AU73" s="20">
        <f t="shared" si="7"/>
        <v>388</v>
      </c>
      <c r="AV73" s="25">
        <f>O73</f>
        <v>25.576160281517659</v>
      </c>
      <c r="AW73" s="25">
        <f>VLOOKUP(AU73,'Hazard Weighting Functions'!$B$5:$G$1205,3,FALSE)</f>
        <v>1.9246038E-2</v>
      </c>
      <c r="AX73" s="25">
        <f t="shared" si="19"/>
        <v>0.49223975267217956</v>
      </c>
      <c r="AY73" s="25">
        <f t="shared" si="20"/>
        <v>1.7564716928811119</v>
      </c>
      <c r="AZ73" s="20">
        <f t="shared" si="2"/>
        <v>388</v>
      </c>
      <c r="BA73" s="20">
        <f t="shared" si="2"/>
        <v>28.499151147329332</v>
      </c>
      <c r="BB73" s="25">
        <f>VLOOKUP(AZ73,'Hazard Weighting Functions'!$B$5:$G$1205,3,FALSE)</f>
        <v>1.9246038E-2</v>
      </c>
      <c r="BC73" s="25">
        <f t="shared" si="21"/>
        <v>0.54849574594924388</v>
      </c>
      <c r="BD73" s="25">
        <f t="shared" si="22"/>
        <v>1.9902156792688306</v>
      </c>
      <c r="BF73" s="20">
        <f t="shared" si="33"/>
        <v>570</v>
      </c>
      <c r="BG73" s="20">
        <f t="shared" si="33"/>
        <v>0</v>
      </c>
      <c r="BH73" s="25">
        <f>VLOOKUP(BF73,'Hazard Weighting Functions'!$B$5:$G$1205,4,FALSE)</f>
        <v>1</v>
      </c>
      <c r="BI73" s="25">
        <f t="shared" si="24"/>
        <v>0</v>
      </c>
      <c r="BJ73" s="25">
        <f t="shared" si="25"/>
        <v>0</v>
      </c>
      <c r="BK73" s="1">
        <f t="shared" si="5"/>
        <v>388</v>
      </c>
      <c r="BL73" s="20">
        <f t="shared" si="5"/>
        <v>25.576160281517659</v>
      </c>
      <c r="BM73" s="25">
        <f>VLOOKUP(BK73,'Hazard Weighting Functions'!$B$5:$G$1205,4,FALSE)</f>
        <v>0.19246038300000001</v>
      </c>
      <c r="BN73" s="25">
        <f t="shared" si="26"/>
        <v>4.9223976034502765</v>
      </c>
      <c r="BO73" s="25">
        <f t="shared" si="34"/>
        <v>17.564717005539599</v>
      </c>
      <c r="BP73" s="20">
        <f t="shared" si="6"/>
        <v>388</v>
      </c>
      <c r="BQ73" s="20">
        <f t="shared" si="6"/>
        <v>28.499151147329332</v>
      </c>
      <c r="BR73" s="25">
        <f>VLOOKUP(BP73,'Hazard Weighting Functions'!$B$5:$G$1205,4,FALSE)</f>
        <v>0.19246038300000001</v>
      </c>
      <c r="BS73" s="25">
        <f t="shared" si="28"/>
        <v>5.4849575449898929</v>
      </c>
      <c r="BT73" s="25">
        <f t="shared" si="29"/>
        <v>19.902156878185757</v>
      </c>
      <c r="BV73" s="25">
        <f>VLOOKUP(BK73,'Hazard Weighting Functions'!$B$5:$G$1205,5,FALSE)</f>
        <v>9.3794862337784476E-5</v>
      </c>
      <c r="BW73" s="25">
        <f t="shared" si="30"/>
        <v>2.39891243273406E-3</v>
      </c>
      <c r="BX73" s="25">
        <f t="shared" si="31"/>
        <v>8.4672257457369358E-3</v>
      </c>
    </row>
    <row r="74" spans="2:76">
      <c r="B74" s="25">
        <v>290</v>
      </c>
      <c r="C74" s="36">
        <v>1.1180293846401556E-3</v>
      </c>
      <c r="E74" s="25">
        <v>290</v>
      </c>
      <c r="F74" s="36"/>
      <c r="H74" s="25">
        <v>290</v>
      </c>
      <c r="I74" s="36"/>
      <c r="K74" s="25">
        <v>1225</v>
      </c>
      <c r="L74" s="36"/>
      <c r="N74" s="25">
        <v>390</v>
      </c>
      <c r="O74" s="36">
        <v>50.569277608357289</v>
      </c>
      <c r="Q74" s="25">
        <v>390</v>
      </c>
      <c r="R74" s="36">
        <v>57.668797332783463</v>
      </c>
      <c r="V74" s="25">
        <f t="shared" si="8"/>
        <v>290</v>
      </c>
      <c r="W74" s="25">
        <f t="shared" si="8"/>
        <v>1.1180293846401556E-3</v>
      </c>
      <c r="Y74" s="25">
        <f t="shared" si="9"/>
        <v>290</v>
      </c>
      <c r="Z74" s="25">
        <f t="shared" si="9"/>
        <v>1.1180293846401556E-3</v>
      </c>
      <c r="AA74" s="25">
        <f>VLOOKUP(Y74,'Hazard Weighting Functions'!$B$5:$G$1205,2,FALSE)</f>
        <v>0.64</v>
      </c>
      <c r="AB74" s="25">
        <f t="shared" si="10"/>
        <v>7.1553880616969962E-4</v>
      </c>
      <c r="AC74" s="25">
        <f t="shared" si="11"/>
        <v>2.1377161651455227E-3</v>
      </c>
      <c r="AE74" s="25">
        <f>VLOOKUP(Y74,'Hazard Weighting Functions'!$B$5:$G$1205,3,FALSE)</f>
        <v>0</v>
      </c>
      <c r="AF74" s="25">
        <f t="shared" si="12"/>
        <v>0</v>
      </c>
      <c r="AG74" s="25">
        <f t="shared" si="13"/>
        <v>0</v>
      </c>
      <c r="AH74" s="25">
        <f>VLOOKUP(Y74,'Hazard Weighting Functions'!$B$5:$G$1205,5,FALSE)</f>
        <v>0</v>
      </c>
      <c r="AI74" s="25">
        <f t="shared" si="14"/>
        <v>0</v>
      </c>
      <c r="AJ74" s="25">
        <f t="shared" si="15"/>
        <v>0</v>
      </c>
      <c r="AP74" s="20">
        <f>'IEC_EN62471- LED non-GLS'!E124</f>
        <v>390</v>
      </c>
      <c r="AQ74" s="20">
        <f t="shared" si="16"/>
        <v>0.15829782159146669</v>
      </c>
      <c r="AR74" s="25">
        <f>VLOOKUP(AP74,'Hazard Weighting Functions'!$B$5:$G$1205,3,FALSE)</f>
        <v>2.5000000000000001E-2</v>
      </c>
      <c r="AS74" s="25">
        <f t="shared" si="17"/>
        <v>3.9574455397866672E-3</v>
      </c>
      <c r="AT74" s="25">
        <f t="shared" si="18"/>
        <v>9.5807801024591112E-3</v>
      </c>
      <c r="AU74" s="20">
        <f t="shared" si="7"/>
        <v>390</v>
      </c>
      <c r="AV74" s="25">
        <f>O74</f>
        <v>50.569277608357289</v>
      </c>
      <c r="AW74" s="25">
        <f>VLOOKUP(AU74,'Hazard Weighting Functions'!$B$5:$G$1205,3,FALSE)</f>
        <v>2.5000000000000001E-2</v>
      </c>
      <c r="AX74" s="25">
        <f t="shared" si="19"/>
        <v>1.2642319402089324</v>
      </c>
      <c r="AY74" s="25">
        <f t="shared" si="20"/>
        <v>4.3599200535565465</v>
      </c>
      <c r="AZ74" s="20">
        <f t="shared" si="2"/>
        <v>390</v>
      </c>
      <c r="BA74" s="20">
        <f t="shared" si="2"/>
        <v>57.668797332783463</v>
      </c>
      <c r="BB74" s="25">
        <f>VLOOKUP(AZ74,'Hazard Weighting Functions'!$B$5:$G$1205,3,FALSE)</f>
        <v>2.5000000000000001E-2</v>
      </c>
      <c r="BC74" s="25">
        <f t="shared" si="21"/>
        <v>1.4417199333195867</v>
      </c>
      <c r="BD74" s="25">
        <f t="shared" si="22"/>
        <v>5.0224763907566974</v>
      </c>
      <c r="BF74" s="20">
        <f t="shared" si="33"/>
        <v>575</v>
      </c>
      <c r="BG74" s="20">
        <f t="shared" si="33"/>
        <v>0</v>
      </c>
      <c r="BH74" s="25">
        <f>VLOOKUP(BF74,'Hazard Weighting Functions'!$B$5:$G$1205,4,FALSE)</f>
        <v>1</v>
      </c>
      <c r="BI74" s="25">
        <f t="shared" si="24"/>
        <v>0</v>
      </c>
      <c r="BJ74" s="25">
        <f t="shared" si="25"/>
        <v>0</v>
      </c>
      <c r="BK74" s="1">
        <f t="shared" si="5"/>
        <v>390</v>
      </c>
      <c r="BL74" s="20">
        <f t="shared" si="5"/>
        <v>50.569277608357289</v>
      </c>
      <c r="BM74" s="25">
        <f>VLOOKUP(BK74,'Hazard Weighting Functions'!$B$5:$G$1205,4,FALSE)</f>
        <v>0.25</v>
      </c>
      <c r="BN74" s="25">
        <f t="shared" si="26"/>
        <v>12.642319402089322</v>
      </c>
      <c r="BO74" s="25">
        <f t="shared" si="34"/>
        <v>43.599200347878032</v>
      </c>
      <c r="BP74" s="20">
        <f t="shared" si="6"/>
        <v>390</v>
      </c>
      <c r="BQ74" s="20">
        <f t="shared" si="6"/>
        <v>57.668797332783463</v>
      </c>
      <c r="BR74" s="25">
        <f>VLOOKUP(BP74,'Hazard Weighting Functions'!$B$5:$G$1205,4,FALSE)</f>
        <v>0.25</v>
      </c>
      <c r="BS74" s="25">
        <f t="shared" si="28"/>
        <v>14.417199333195866</v>
      </c>
      <c r="BT74" s="25">
        <f t="shared" si="29"/>
        <v>50.224763690470503</v>
      </c>
      <c r="BV74" s="25">
        <f>VLOOKUP(BK74,'Hazard Weighting Functions'!$B$5:$G$1205,5,FALSE)</f>
        <v>1.2E-4</v>
      </c>
      <c r="BW74" s="25">
        <f t="shared" si="30"/>
        <v>6.068313313002875E-3</v>
      </c>
      <c r="BX74" s="25">
        <f t="shared" si="31"/>
        <v>2.0190611134184435E-2</v>
      </c>
    </row>
    <row r="75" spans="2:76">
      <c r="B75" s="25">
        <v>292</v>
      </c>
      <c r="C75" s="36">
        <v>2.3782230083207747E-3</v>
      </c>
      <c r="E75" s="25">
        <v>292</v>
      </c>
      <c r="F75" s="36"/>
      <c r="H75" s="25">
        <v>292</v>
      </c>
      <c r="I75" s="36"/>
      <c r="K75" s="25">
        <v>1230</v>
      </c>
      <c r="L75" s="36"/>
      <c r="N75" s="25">
        <v>392</v>
      </c>
      <c r="O75" s="36">
        <v>93.843714506772017</v>
      </c>
      <c r="Q75" s="25">
        <v>392</v>
      </c>
      <c r="R75" s="36">
        <v>108.54823690446999</v>
      </c>
      <c r="V75" s="25">
        <f t="shared" si="8"/>
        <v>292</v>
      </c>
      <c r="W75" s="25">
        <f t="shared" si="8"/>
        <v>2.3782230083207747E-3</v>
      </c>
      <c r="Y75" s="25">
        <f t="shared" si="9"/>
        <v>292</v>
      </c>
      <c r="Z75" s="25">
        <f t="shared" si="9"/>
        <v>2.3782230083207747E-3</v>
      </c>
      <c r="AA75" s="25">
        <f>VLOOKUP(Y75,'Hazard Weighting Functions'!$B$5:$G$1205,2,FALSE)</f>
        <v>0.59799999999999998</v>
      </c>
      <c r="AB75" s="25">
        <f t="shared" si="10"/>
        <v>1.4221773589758232E-3</v>
      </c>
      <c r="AC75" s="25">
        <f t="shared" si="11"/>
        <v>1.4221773589758232E-3</v>
      </c>
      <c r="AE75" s="25">
        <f>VLOOKUP(Y75,'Hazard Weighting Functions'!$B$5:$G$1205,3,FALSE)</f>
        <v>0</v>
      </c>
      <c r="AF75" s="25">
        <f t="shared" si="12"/>
        <v>0</v>
      </c>
      <c r="AG75" s="25">
        <f t="shared" si="13"/>
        <v>0</v>
      </c>
      <c r="AH75" s="25">
        <f>VLOOKUP(Y75,'Hazard Weighting Functions'!$B$5:$G$1205,5,FALSE)</f>
        <v>0</v>
      </c>
      <c r="AI75" s="25">
        <f t="shared" si="14"/>
        <v>0</v>
      </c>
      <c r="AJ75" s="25">
        <f t="shared" si="15"/>
        <v>0</v>
      </c>
      <c r="AP75" s="20">
        <f>'IEC_EN62471- LED non-GLS'!E125</f>
        <v>392</v>
      </c>
      <c r="AQ75" s="20">
        <f t="shared" si="16"/>
        <v>0.17046762592140996</v>
      </c>
      <c r="AR75" s="25">
        <f>VLOOKUP(AP75,'Hazard Weighting Functions'!$B$5:$G$1205,3,FALSE)</f>
        <v>3.2987698000000003E-2</v>
      </c>
      <c r="AS75" s="25">
        <f t="shared" si="17"/>
        <v>5.623334562672444E-3</v>
      </c>
      <c r="AT75" s="25">
        <f t="shared" si="18"/>
        <v>1.4432571628022525E-2</v>
      </c>
      <c r="AU75" s="20">
        <f t="shared" si="7"/>
        <v>392</v>
      </c>
      <c r="AV75" s="25">
        <f>O75</f>
        <v>93.843714506772017</v>
      </c>
      <c r="AW75" s="25">
        <f>VLOOKUP(AU75,'Hazard Weighting Functions'!$B$5:$G$1205,3,FALSE)</f>
        <v>3.2987698000000003E-2</v>
      </c>
      <c r="AX75" s="25">
        <f t="shared" si="19"/>
        <v>3.0956881133476144</v>
      </c>
      <c r="AY75" s="25">
        <f t="shared" si="20"/>
        <v>10.371232634156682</v>
      </c>
      <c r="AZ75" s="20">
        <f t="shared" si="2"/>
        <v>392</v>
      </c>
      <c r="BA75" s="20">
        <f t="shared" si="2"/>
        <v>108.54823690446999</v>
      </c>
      <c r="BB75" s="25">
        <f>VLOOKUP(AZ75,'Hazard Weighting Functions'!$B$5:$G$1205,3,FALSE)</f>
        <v>3.2987698000000003E-2</v>
      </c>
      <c r="BC75" s="25">
        <f t="shared" si="21"/>
        <v>3.5807564574371109</v>
      </c>
      <c r="BD75" s="25">
        <f t="shared" si="22"/>
        <v>12.097209857794718</v>
      </c>
      <c r="BF75" s="20">
        <f t="shared" si="33"/>
        <v>580</v>
      </c>
      <c r="BG75" s="20">
        <f t="shared" si="33"/>
        <v>0</v>
      </c>
      <c r="BH75" s="25">
        <f>VLOOKUP(BF75,'Hazard Weighting Functions'!$B$5:$G$1205,4,FALSE)</f>
        <v>1</v>
      </c>
      <c r="BI75" s="25">
        <f t="shared" si="24"/>
        <v>0</v>
      </c>
      <c r="BJ75" s="25">
        <f t="shared" si="25"/>
        <v>0</v>
      </c>
      <c r="BK75" s="1">
        <f t="shared" si="5"/>
        <v>392</v>
      </c>
      <c r="BL75" s="20">
        <f t="shared" si="5"/>
        <v>93.843714506772017</v>
      </c>
      <c r="BM75" s="25">
        <f>VLOOKUP(BK75,'Hazard Weighting Functions'!$B$5:$G$1205,4,FALSE)</f>
        <v>0.32987697799999999</v>
      </c>
      <c r="BN75" s="25">
        <f t="shared" si="26"/>
        <v>30.956880945788711</v>
      </c>
      <c r="BO75" s="25">
        <f t="shared" si="34"/>
        <v>103.71232648817562</v>
      </c>
      <c r="BP75" s="20">
        <f t="shared" si="6"/>
        <v>392</v>
      </c>
      <c r="BQ75" s="20">
        <f t="shared" si="6"/>
        <v>108.54823690446999</v>
      </c>
      <c r="BR75" s="25">
        <f>VLOOKUP(BP75,'Hazard Weighting Functions'!$B$5:$G$1205,4,FALSE)</f>
        <v>0.32987697799999999</v>
      </c>
      <c r="BS75" s="25">
        <f t="shared" si="28"/>
        <v>35.807564357274636</v>
      </c>
      <c r="BT75" s="25">
        <f t="shared" si="29"/>
        <v>120.97209875216413</v>
      </c>
      <c r="BV75" s="25">
        <f>VLOOKUP(BK75,'Hazard Weighting Functions'!$B$5:$G$1205,5,FALSE)</f>
        <v>1.504874129866466E-4</v>
      </c>
      <c r="BW75" s="25">
        <f t="shared" si="30"/>
        <v>1.4122297821181559E-2</v>
      </c>
      <c r="BX75" s="25">
        <f t="shared" si="31"/>
        <v>4.6025818386839237E-2</v>
      </c>
    </row>
    <row r="76" spans="2:76">
      <c r="B76" s="25">
        <v>294</v>
      </c>
      <c r="C76" s="36">
        <v>0</v>
      </c>
      <c r="E76" s="25">
        <v>294</v>
      </c>
      <c r="F76" s="36"/>
      <c r="H76" s="25">
        <v>294</v>
      </c>
      <c r="I76" s="36"/>
      <c r="K76" s="25">
        <v>1235</v>
      </c>
      <c r="L76" s="36"/>
      <c r="N76" s="25">
        <v>394</v>
      </c>
      <c r="O76" s="36">
        <v>167.1481210880863</v>
      </c>
      <c r="Q76" s="25">
        <v>394</v>
      </c>
      <c r="R76" s="36">
        <v>195.65672096879948</v>
      </c>
      <c r="V76" s="25">
        <f t="shared" si="8"/>
        <v>294</v>
      </c>
      <c r="W76" s="25">
        <f t="shared" si="8"/>
        <v>0</v>
      </c>
      <c r="Y76" s="25">
        <f t="shared" si="9"/>
        <v>294</v>
      </c>
      <c r="Z76" s="25">
        <f t="shared" si="9"/>
        <v>0</v>
      </c>
      <c r="AA76" s="25">
        <f>VLOOKUP(Y76,'Hazard Weighting Functions'!$B$5:$G$1205,2,FALSE)</f>
        <v>0.55869999999999997</v>
      </c>
      <c r="AB76" s="25">
        <f t="shared" si="10"/>
        <v>0</v>
      </c>
      <c r="AC76" s="25">
        <f t="shared" si="11"/>
        <v>6.9396123591437483E-4</v>
      </c>
      <c r="AE76" s="25">
        <f>VLOOKUP(Y76,'Hazard Weighting Functions'!$B$5:$G$1205,3,FALSE)</f>
        <v>0</v>
      </c>
      <c r="AF76" s="25">
        <f t="shared" si="12"/>
        <v>0</v>
      </c>
      <c r="AG76" s="25">
        <f t="shared" si="13"/>
        <v>0</v>
      </c>
      <c r="AH76" s="25">
        <f>VLOOKUP(Y76,'Hazard Weighting Functions'!$B$5:$G$1205,5,FALSE)</f>
        <v>0</v>
      </c>
      <c r="AI76" s="25">
        <f t="shared" si="14"/>
        <v>0</v>
      </c>
      <c r="AJ76" s="25">
        <f t="shared" si="15"/>
        <v>0</v>
      </c>
      <c r="AP76" s="20">
        <f>'IEC_EN62471- LED non-GLS'!E126</f>
        <v>394</v>
      </c>
      <c r="AQ76" s="20">
        <f t="shared" si="16"/>
        <v>0.20238312328120447</v>
      </c>
      <c r="AR76" s="25">
        <f>VLOOKUP(AP76,'Hazard Weighting Functions'!$B$5:$G$1205,3,FALSE)</f>
        <v>4.3527528000000003E-2</v>
      </c>
      <c r="AS76" s="25">
        <f t="shared" si="17"/>
        <v>8.8092370653500805E-3</v>
      </c>
      <c r="AT76" s="25">
        <f t="shared" si="18"/>
        <v>2.539031507887209E-2</v>
      </c>
      <c r="AU76" s="20">
        <f t="shared" si="7"/>
        <v>394</v>
      </c>
      <c r="AV76" s="25">
        <f>O76</f>
        <v>167.1481210880863</v>
      </c>
      <c r="AW76" s="25">
        <f>VLOOKUP(AU76,'Hazard Weighting Functions'!$B$5:$G$1205,3,FALSE)</f>
        <v>4.3527528000000003E-2</v>
      </c>
      <c r="AX76" s="25">
        <f t="shared" si="19"/>
        <v>7.275544520809067</v>
      </c>
      <c r="AY76" s="25">
        <f t="shared" si="20"/>
        <v>23.731443102637026</v>
      </c>
      <c r="AZ76" s="20">
        <f t="shared" si="2"/>
        <v>394</v>
      </c>
      <c r="BA76" s="20">
        <f t="shared" si="2"/>
        <v>195.65672096879948</v>
      </c>
      <c r="BB76" s="25">
        <f>VLOOKUP(AZ76,'Hazard Weighting Functions'!$B$5:$G$1205,3,FALSE)</f>
        <v>4.3527528000000003E-2</v>
      </c>
      <c r="BC76" s="25">
        <f t="shared" si="21"/>
        <v>8.5164534003576069</v>
      </c>
      <c r="BD76" s="25">
        <f t="shared" si="22"/>
        <v>28.129764435458362</v>
      </c>
      <c r="BF76" s="20">
        <f t="shared" si="33"/>
        <v>585</v>
      </c>
      <c r="BG76" s="20">
        <f t="shared" si="33"/>
        <v>0</v>
      </c>
      <c r="BH76" s="25">
        <f>VLOOKUP(BF76,'Hazard Weighting Functions'!$B$5:$G$1205,4,FALSE)</f>
        <v>1</v>
      </c>
      <c r="BI76" s="25">
        <f t="shared" si="24"/>
        <v>0</v>
      </c>
      <c r="BJ76" s="25">
        <f t="shared" si="25"/>
        <v>0</v>
      </c>
      <c r="BK76" s="1">
        <f t="shared" si="5"/>
        <v>394</v>
      </c>
      <c r="BL76" s="20">
        <f t="shared" si="5"/>
        <v>167.1481210880863</v>
      </c>
      <c r="BM76" s="25">
        <f>VLOOKUP(BK76,'Hazard Weighting Functions'!$B$5:$G$1205,4,FALSE)</f>
        <v>0.43527528199999999</v>
      </c>
      <c r="BN76" s="25">
        <f t="shared" si="26"/>
        <v>72.755445542386909</v>
      </c>
      <c r="BO76" s="25">
        <f t="shared" si="34"/>
        <v>237.314430501125</v>
      </c>
      <c r="BP76" s="20">
        <f t="shared" si="6"/>
        <v>394</v>
      </c>
      <c r="BQ76" s="20">
        <f t="shared" si="6"/>
        <v>195.65672096879948</v>
      </c>
      <c r="BR76" s="25">
        <f>VLOOKUP(BP76,'Hazard Weighting Functions'!$B$5:$G$1205,4,FALSE)</f>
        <v>0.43527528199999999</v>
      </c>
      <c r="BS76" s="25">
        <f t="shared" si="28"/>
        <v>85.1645343948895</v>
      </c>
      <c r="BT76" s="25">
        <f t="shared" si="29"/>
        <v>281.29764372143433</v>
      </c>
      <c r="BV76" s="25">
        <f>VLOOKUP(BK76,'Hazard Weighting Functions'!$B$5:$G$1205,5,FALSE)</f>
        <v>1.908697528753235E-4</v>
      </c>
      <c r="BW76" s="25">
        <f t="shared" si="30"/>
        <v>3.1903520565657678E-2</v>
      </c>
      <c r="BX76" s="25">
        <f t="shared" si="31"/>
        <v>0.10293161030429955</v>
      </c>
    </row>
    <row r="77" spans="2:76">
      <c r="B77" s="25">
        <v>296</v>
      </c>
      <c r="C77" s="36">
        <v>1.3923780816901582E-3</v>
      </c>
      <c r="E77" s="25">
        <v>296</v>
      </c>
      <c r="F77" s="36"/>
      <c r="H77" s="25">
        <v>296</v>
      </c>
      <c r="I77" s="36"/>
      <c r="K77" s="25">
        <v>1240</v>
      </c>
      <c r="L77" s="36"/>
      <c r="N77" s="25">
        <v>396</v>
      </c>
      <c r="O77" s="36">
        <v>286.51383435122096</v>
      </c>
      <c r="Q77" s="25">
        <v>396</v>
      </c>
      <c r="R77" s="36">
        <v>341.48757790688859</v>
      </c>
      <c r="V77" s="25">
        <f t="shared" si="8"/>
        <v>296</v>
      </c>
      <c r="W77" s="25">
        <f t="shared" si="8"/>
        <v>1.3923780816901582E-3</v>
      </c>
      <c r="Y77" s="25">
        <f t="shared" si="9"/>
        <v>296</v>
      </c>
      <c r="Z77" s="25">
        <f t="shared" si="9"/>
        <v>1.3923780816901582E-3</v>
      </c>
      <c r="AA77" s="25">
        <f>VLOOKUP(Y77,'Hazard Weighting Functions'!$B$5:$G$1205,2,FALSE)</f>
        <v>0.49840000000000001</v>
      </c>
      <c r="AB77" s="25">
        <f t="shared" si="10"/>
        <v>6.9396123591437483E-4</v>
      </c>
      <c r="AC77" s="25">
        <f t="shared" si="11"/>
        <v>8.4517435607687629E-4</v>
      </c>
      <c r="AE77" s="25">
        <f>VLOOKUP(Y77,'Hazard Weighting Functions'!$B$5:$G$1205,3,FALSE)</f>
        <v>0</v>
      </c>
      <c r="AF77" s="25">
        <f t="shared" si="12"/>
        <v>0</v>
      </c>
      <c r="AG77" s="25">
        <f t="shared" si="13"/>
        <v>0</v>
      </c>
      <c r="AH77" s="25">
        <f>VLOOKUP(Y77,'Hazard Weighting Functions'!$B$5:$G$1205,5,FALSE)</f>
        <v>0</v>
      </c>
      <c r="AI77" s="25">
        <f t="shared" si="14"/>
        <v>0</v>
      </c>
      <c r="AJ77" s="25">
        <f t="shared" si="15"/>
        <v>0</v>
      </c>
      <c r="AP77" s="20">
        <f>'IEC_EN62471- LED non-GLS'!E127</f>
        <v>396</v>
      </c>
      <c r="AQ77" s="20">
        <f t="shared" si="16"/>
        <v>0.28869333483721538</v>
      </c>
      <c r="AR77" s="25">
        <f>VLOOKUP(AP77,'Hazard Weighting Functions'!$B$5:$G$1205,3,FALSE)</f>
        <v>5.7434918000000001E-2</v>
      </c>
      <c r="AS77" s="25">
        <f t="shared" si="17"/>
        <v>1.6581078013522009E-2</v>
      </c>
      <c r="AT77" s="25">
        <f t="shared" si="18"/>
        <v>5.1041510298557267E-2</v>
      </c>
      <c r="AU77" s="20">
        <f t="shared" si="7"/>
        <v>396</v>
      </c>
      <c r="AV77" s="25">
        <f>O77</f>
        <v>286.51383435122096</v>
      </c>
      <c r="AW77" s="25">
        <f>VLOOKUP(AU77,'Hazard Weighting Functions'!$B$5:$G$1205,3,FALSE)</f>
        <v>5.7434918000000001E-2</v>
      </c>
      <c r="AX77" s="25">
        <f t="shared" si="19"/>
        <v>16.45589858182796</v>
      </c>
      <c r="AY77" s="25">
        <f t="shared" si="20"/>
        <v>52.89273776860756</v>
      </c>
      <c r="AZ77" s="20">
        <f t="shared" si="2"/>
        <v>396</v>
      </c>
      <c r="BA77" s="20">
        <f t="shared" si="2"/>
        <v>341.48757790688859</v>
      </c>
      <c r="BB77" s="25">
        <f>VLOOKUP(AZ77,'Hazard Weighting Functions'!$B$5:$G$1205,3,FALSE)</f>
        <v>5.7434918000000001E-2</v>
      </c>
      <c r="BC77" s="25">
        <f t="shared" si="21"/>
        <v>19.613311035100757</v>
      </c>
      <c r="BD77" s="25">
        <f t="shared" si="22"/>
        <v>63.859660181344829</v>
      </c>
      <c r="BF77" s="20">
        <f t="shared" si="33"/>
        <v>590</v>
      </c>
      <c r="BG77" s="20">
        <f t="shared" si="33"/>
        <v>0</v>
      </c>
      <c r="BH77" s="25">
        <f>VLOOKUP(BF77,'Hazard Weighting Functions'!$B$5:$G$1205,4,FALSE)</f>
        <v>1</v>
      </c>
      <c r="BI77" s="25">
        <f t="shared" si="24"/>
        <v>0</v>
      </c>
      <c r="BJ77" s="25">
        <f t="shared" si="25"/>
        <v>0</v>
      </c>
      <c r="BK77" s="1">
        <f t="shared" si="5"/>
        <v>396</v>
      </c>
      <c r="BL77" s="20">
        <f t="shared" si="5"/>
        <v>286.51383435122096</v>
      </c>
      <c r="BM77" s="25">
        <f>VLOOKUP(BK77,'Hazard Weighting Functions'!$B$5:$G$1205,4,FALSE)</f>
        <v>0.57434917699999999</v>
      </c>
      <c r="BN77" s="25">
        <f t="shared" si="26"/>
        <v>164.55898495873808</v>
      </c>
      <c r="BO77" s="25">
        <f t="shared" si="34"/>
        <v>528.92737826889504</v>
      </c>
      <c r="BP77" s="20">
        <f t="shared" si="6"/>
        <v>396</v>
      </c>
      <c r="BQ77" s="20">
        <f t="shared" si="6"/>
        <v>341.48757790688859</v>
      </c>
      <c r="BR77" s="25">
        <f>VLOOKUP(BP77,'Hazard Weighting Functions'!$B$5:$G$1205,4,FALSE)</f>
        <v>0.57434917699999999</v>
      </c>
      <c r="BS77" s="25">
        <f t="shared" si="28"/>
        <v>196.13310932654483</v>
      </c>
      <c r="BT77" s="25">
        <f t="shared" si="29"/>
        <v>638.59660254048777</v>
      </c>
      <c r="BV77" s="25">
        <f>VLOOKUP(BK77,'Hazard Weighting Functions'!$B$5:$G$1205,5,FALSE)</f>
        <v>2.4790457291347612E-4</v>
      </c>
      <c r="BW77" s="25">
        <f t="shared" si="30"/>
        <v>7.1028089738641872E-2</v>
      </c>
      <c r="BX77" s="25">
        <f t="shared" si="31"/>
        <v>0.22476311683755179</v>
      </c>
    </row>
    <row r="78" spans="2:76">
      <c r="B78" s="25">
        <v>298</v>
      </c>
      <c r="C78" s="36">
        <v>3.790752573640046E-4</v>
      </c>
      <c r="E78" s="25">
        <v>298</v>
      </c>
      <c r="F78" s="36"/>
      <c r="H78" s="25">
        <v>298</v>
      </c>
      <c r="I78" s="36"/>
      <c r="K78" s="25">
        <v>1245</v>
      </c>
      <c r="L78" s="36"/>
      <c r="N78" s="25">
        <v>398</v>
      </c>
      <c r="O78" s="36">
        <v>480.78697757026021</v>
      </c>
      <c r="Q78" s="25">
        <v>398</v>
      </c>
      <c r="R78" s="36">
        <v>583.83407972060513</v>
      </c>
      <c r="V78" s="25">
        <f t="shared" si="8"/>
        <v>298</v>
      </c>
      <c r="W78" s="25">
        <f t="shared" si="8"/>
        <v>3.790752573640046E-4</v>
      </c>
      <c r="Y78" s="25">
        <f t="shared" si="9"/>
        <v>298</v>
      </c>
      <c r="Z78" s="25">
        <f t="shared" si="9"/>
        <v>3.790752573640046E-4</v>
      </c>
      <c r="AA78" s="25">
        <f>VLOOKUP(Y78,'Hazard Weighting Functions'!$B$5:$G$1205,2,FALSE)</f>
        <v>0.39889999999999998</v>
      </c>
      <c r="AB78" s="25">
        <f t="shared" si="10"/>
        <v>1.5121312016250143E-4</v>
      </c>
      <c r="AC78" s="25">
        <f t="shared" si="11"/>
        <v>2.9448988873305958E-4</v>
      </c>
      <c r="AE78" s="25">
        <f>VLOOKUP(Y78,'Hazard Weighting Functions'!$B$5:$G$1205,3,FALSE)</f>
        <v>0</v>
      </c>
      <c r="AF78" s="25">
        <f t="shared" si="12"/>
        <v>0</v>
      </c>
      <c r="AG78" s="25">
        <f t="shared" si="13"/>
        <v>4.7758922856852727E-6</v>
      </c>
      <c r="AH78" s="25">
        <f>VLOOKUP(Y78,'Hazard Weighting Functions'!$B$5:$G$1205,5,FALSE)</f>
        <v>0</v>
      </c>
      <c r="AI78" s="25">
        <f t="shared" si="14"/>
        <v>0</v>
      </c>
      <c r="AJ78" s="25">
        <f t="shared" si="15"/>
        <v>0</v>
      </c>
      <c r="AP78" s="20">
        <f>'IEC_EN62471- LED non-GLS'!E128</f>
        <v>398</v>
      </c>
      <c r="AQ78" s="20">
        <f t="shared" si="16"/>
        <v>0.45470813204066673</v>
      </c>
      <c r="AR78" s="25">
        <f>VLOOKUP(AP78,'Hazard Weighting Functions'!$B$5:$G$1205,3,FALSE)</f>
        <v>7.5785828E-2</v>
      </c>
      <c r="AS78" s="25">
        <f t="shared" si="17"/>
        <v>3.4460432285035258E-2</v>
      </c>
      <c r="AT78" s="25">
        <f t="shared" si="18"/>
        <v>0.10214134634602991</v>
      </c>
      <c r="AU78" s="20">
        <f t="shared" si="7"/>
        <v>398</v>
      </c>
      <c r="AV78" s="25">
        <f>O78</f>
        <v>480.78697757026021</v>
      </c>
      <c r="AW78" s="25">
        <f>VLOOKUP(AU78,'Hazard Weighting Functions'!$B$5:$G$1205,3,FALSE)</f>
        <v>7.5785828E-2</v>
      </c>
      <c r="AX78" s="25">
        <f t="shared" si="19"/>
        <v>36.436839186779601</v>
      </c>
      <c r="AY78" s="25">
        <f t="shared" si="20"/>
        <v>113.75033550950167</v>
      </c>
      <c r="AZ78" s="20">
        <f t="shared" si="2"/>
        <v>398</v>
      </c>
      <c r="BA78" s="20">
        <f t="shared" si="2"/>
        <v>583.83407972060513</v>
      </c>
      <c r="BB78" s="25">
        <f>VLOOKUP(AZ78,'Hazard Weighting Functions'!$B$5:$G$1205,3,FALSE)</f>
        <v>7.5785828E-2</v>
      </c>
      <c r="BC78" s="25">
        <f t="shared" si="21"/>
        <v>44.246349146244071</v>
      </c>
      <c r="BD78" s="25">
        <f t="shared" si="22"/>
        <v>141.21459397230808</v>
      </c>
      <c r="BF78" s="20">
        <f t="shared" ref="BF78:BG93" si="35">H168</f>
        <v>595</v>
      </c>
      <c r="BG78" s="20">
        <f t="shared" si="35"/>
        <v>0</v>
      </c>
      <c r="BH78" s="25">
        <f>VLOOKUP(BF78,'Hazard Weighting Functions'!$B$5:$G$1205,4,FALSE)</f>
        <v>1</v>
      </c>
      <c r="BI78" s="25">
        <f t="shared" si="24"/>
        <v>0</v>
      </c>
      <c r="BJ78" s="25">
        <f t="shared" si="25"/>
        <v>0</v>
      </c>
      <c r="BK78" s="1">
        <f t="shared" si="5"/>
        <v>398</v>
      </c>
      <c r="BL78" s="20">
        <f t="shared" si="5"/>
        <v>480.78697757026021</v>
      </c>
      <c r="BM78" s="25">
        <f>VLOOKUP(BK78,'Hazard Weighting Functions'!$B$5:$G$1205,4,FALSE)</f>
        <v>0.75785828300000002</v>
      </c>
      <c r="BN78" s="25">
        <f t="shared" si="26"/>
        <v>364.36839331015693</v>
      </c>
      <c r="BO78" s="25">
        <f t="shared" si="34"/>
        <v>1137.5033565373776</v>
      </c>
      <c r="BP78" s="20">
        <f t="shared" si="6"/>
        <v>398</v>
      </c>
      <c r="BQ78" s="20">
        <f t="shared" si="6"/>
        <v>583.83407972060513</v>
      </c>
      <c r="BR78" s="25">
        <f>VLOOKUP(BP78,'Hazard Weighting Functions'!$B$5:$G$1205,4,FALSE)</f>
        <v>0.75785828300000002</v>
      </c>
      <c r="BS78" s="25">
        <f t="shared" si="28"/>
        <v>442.46349321394291</v>
      </c>
      <c r="BT78" s="25">
        <f t="shared" si="29"/>
        <v>1412.1459414745827</v>
      </c>
      <c r="BV78" s="25">
        <f>VLOOKUP(BK78,'Hazard Weighting Functions'!$B$5:$G$1205,5,FALSE)</f>
        <v>3.1975705306295181E-4</v>
      </c>
      <c r="BW78" s="25">
        <f t="shared" si="30"/>
        <v>0.1537350270989099</v>
      </c>
      <c r="BX78" s="25">
        <f t="shared" si="31"/>
        <v>0.45989647253688926</v>
      </c>
    </row>
    <row r="79" spans="2:76">
      <c r="B79" s="25">
        <v>300</v>
      </c>
      <c r="C79" s="36">
        <v>4.7758922856852722E-4</v>
      </c>
      <c r="E79" s="25">
        <v>300</v>
      </c>
      <c r="F79" s="36"/>
      <c r="H79" s="25">
        <v>300</v>
      </c>
      <c r="I79" s="36"/>
      <c r="K79" s="25">
        <v>1250</v>
      </c>
      <c r="L79" s="36"/>
      <c r="N79" s="25">
        <v>400</v>
      </c>
      <c r="O79" s="36">
        <v>773.13496322722062</v>
      </c>
      <c r="Q79" s="25">
        <v>400</v>
      </c>
      <c r="R79" s="36">
        <v>969.68244826063983</v>
      </c>
      <c r="V79" s="25">
        <f t="shared" si="8"/>
        <v>300</v>
      </c>
      <c r="W79" s="25">
        <f t="shared" si="8"/>
        <v>4.7758922856852722E-4</v>
      </c>
      <c r="Y79" s="25">
        <f t="shared" si="9"/>
        <v>300</v>
      </c>
      <c r="Z79" s="25">
        <f t="shared" si="9"/>
        <v>4.7758922856852722E-4</v>
      </c>
      <c r="AA79" s="25">
        <f>VLOOKUP(Y79,'Hazard Weighting Functions'!$B$5:$G$1205,2,FALSE)</f>
        <v>0.3</v>
      </c>
      <c r="AB79" s="25">
        <f t="shared" si="10"/>
        <v>1.4327676857055815E-4</v>
      </c>
      <c r="AC79" s="25">
        <f t="shared" si="11"/>
        <v>4.4008113068084434E-4</v>
      </c>
      <c r="AE79" s="25">
        <f>VLOOKUP(Y79,'Hazard Weighting Functions'!$B$5:$G$1205,3,FALSE)</f>
        <v>0.01</v>
      </c>
      <c r="AF79" s="25">
        <f t="shared" si="12"/>
        <v>4.7758922856852727E-6</v>
      </c>
      <c r="AG79" s="25">
        <f t="shared" si="13"/>
        <v>2.2995926792148518E-5</v>
      </c>
      <c r="AH79" s="25">
        <f>VLOOKUP(Y79,'Hazard Weighting Functions'!$B$5:$G$1205,5,FALSE)</f>
        <v>0</v>
      </c>
      <c r="AI79" s="25">
        <f t="shared" si="14"/>
        <v>0</v>
      </c>
      <c r="AJ79" s="25">
        <f t="shared" si="15"/>
        <v>0</v>
      </c>
      <c r="AP79" s="20">
        <f>'IEC_EN62471- LED non-GLS'!E129</f>
        <v>400</v>
      </c>
      <c r="AQ79" s="20">
        <f t="shared" si="16"/>
        <v>0.67680914060994646</v>
      </c>
      <c r="AR79" s="25">
        <f>VLOOKUP(AP79,'Hazard Weighting Functions'!$B$5:$G$1205,3,FALSE)</f>
        <v>0.1</v>
      </c>
      <c r="AS79" s="25">
        <f t="shared" si="17"/>
        <v>6.7680914060994649E-2</v>
      </c>
      <c r="AT79" s="25">
        <f t="shared" si="18"/>
        <v>1.046613675595558</v>
      </c>
      <c r="AU79" s="20">
        <f t="shared" si="7"/>
        <v>400</v>
      </c>
      <c r="AV79" s="25">
        <f>O79</f>
        <v>773.13496322722062</v>
      </c>
      <c r="AW79" s="25">
        <f>VLOOKUP(AU79,'Hazard Weighting Functions'!$B$5:$G$1205,3,FALSE)</f>
        <v>0.1</v>
      </c>
      <c r="AX79" s="25">
        <f t="shared" si="19"/>
        <v>77.313496322722074</v>
      </c>
      <c r="AY79" s="25">
        <f t="shared" si="20"/>
        <v>1505.2562558146651</v>
      </c>
      <c r="AZ79" s="20">
        <f t="shared" si="2"/>
        <v>400</v>
      </c>
      <c r="BA79" s="20">
        <f t="shared" si="2"/>
        <v>969.68244826063983</v>
      </c>
      <c r="BB79" s="25">
        <f>VLOOKUP(AZ79,'Hazard Weighting Functions'!$B$5:$G$1205,3,FALSE)</f>
        <v>0.1</v>
      </c>
      <c r="BC79" s="25">
        <f t="shared" si="21"/>
        <v>96.968244826063994</v>
      </c>
      <c r="BD79" s="25">
        <f t="shared" si="22"/>
        <v>306.00531620578641</v>
      </c>
      <c r="BF79" s="20">
        <f t="shared" si="35"/>
        <v>600</v>
      </c>
      <c r="BG79" s="20">
        <f t="shared" si="35"/>
        <v>0</v>
      </c>
      <c r="BH79" s="25">
        <f>VLOOKUP(BF79,'Hazard Weighting Functions'!$B$5:$G$1205,4,FALSE)</f>
        <v>1</v>
      </c>
      <c r="BI79" s="25">
        <f t="shared" si="24"/>
        <v>0</v>
      </c>
      <c r="BJ79" s="25">
        <f t="shared" si="25"/>
        <v>0</v>
      </c>
      <c r="BK79" s="1">
        <f t="shared" si="5"/>
        <v>400</v>
      </c>
      <c r="BL79" s="20">
        <f t="shared" si="5"/>
        <v>773.13496322722062</v>
      </c>
      <c r="BM79" s="25">
        <f>VLOOKUP(BK79,'Hazard Weighting Functions'!$B$5:$G$1205,4,FALSE)</f>
        <v>1</v>
      </c>
      <c r="BN79" s="25">
        <f t="shared" si="26"/>
        <v>773.13496322722062</v>
      </c>
      <c r="BO79" s="25">
        <f t="shared" si="34"/>
        <v>15052.562558146648</v>
      </c>
      <c r="BP79" s="20">
        <f t="shared" si="6"/>
        <v>400</v>
      </c>
      <c r="BQ79" s="20">
        <f t="shared" si="6"/>
        <v>969.68244826063983</v>
      </c>
      <c r="BR79" s="25">
        <f>VLOOKUP(BP79,'Hazard Weighting Functions'!$B$5:$G$1205,4,FALSE)</f>
        <v>1</v>
      </c>
      <c r="BS79" s="25">
        <f t="shared" si="28"/>
        <v>969.68244826063983</v>
      </c>
      <c r="BT79" s="25">
        <f t="shared" si="29"/>
        <v>3060.0531636420687</v>
      </c>
      <c r="BV79" s="25">
        <f>VLOOKUP(BK79,'Hazard Weighting Functions'!$B$5:$G$1205,5,FALSE)</f>
        <v>3.9599999999999998E-4</v>
      </c>
      <c r="BW79" s="25">
        <f t="shared" si="30"/>
        <v>0.30616144543797935</v>
      </c>
      <c r="BX79" s="25">
        <f t="shared" si="31"/>
        <v>4.9637156616200997</v>
      </c>
    </row>
    <row r="80" spans="2:76">
      <c r="B80" s="25">
        <v>302</v>
      </c>
      <c r="C80" s="36">
        <v>1.8220034506463243E-3</v>
      </c>
      <c r="E80" s="25">
        <v>302</v>
      </c>
      <c r="F80" s="36"/>
      <c r="H80" s="25">
        <v>302</v>
      </c>
      <c r="I80" s="36"/>
      <c r="K80" s="25">
        <v>1255</v>
      </c>
      <c r="L80" s="36"/>
      <c r="N80" s="25">
        <v>405</v>
      </c>
      <c r="O80" s="36">
        <v>2623.9450300157196</v>
      </c>
      <c r="Q80" s="25">
        <v>402</v>
      </c>
      <c r="R80" s="36">
        <v>1584.2047614532482</v>
      </c>
      <c r="V80" s="25">
        <f t="shared" si="8"/>
        <v>302</v>
      </c>
      <c r="W80" s="25">
        <f t="shared" si="8"/>
        <v>1.8220034506463243E-3</v>
      </c>
      <c r="Y80" s="25">
        <f t="shared" si="9"/>
        <v>302</v>
      </c>
      <c r="Z80" s="25">
        <f t="shared" si="9"/>
        <v>1.8220034506463243E-3</v>
      </c>
      <c r="AA80" s="25">
        <f>VLOOKUP(Y80,'Hazard Weighting Functions'!$B$5:$G$1205,2,FALSE)</f>
        <v>0.16289999999999999</v>
      </c>
      <c r="AB80" s="25">
        <f t="shared" si="10"/>
        <v>2.9680436211028621E-4</v>
      </c>
      <c r="AC80" s="25">
        <f t="shared" si="11"/>
        <v>2.9680436211028621E-4</v>
      </c>
      <c r="AE80" s="25">
        <f>VLOOKUP(Y80,'Hazard Weighting Functions'!$B$5:$G$1205,3,FALSE)</f>
        <v>0.01</v>
      </c>
      <c r="AF80" s="25">
        <f t="shared" si="12"/>
        <v>1.8220034506463244E-5</v>
      </c>
      <c r="AG80" s="25">
        <f t="shared" si="13"/>
        <v>1.8220034506463244E-5</v>
      </c>
      <c r="AH80" s="25">
        <f>VLOOKUP(Y80,'Hazard Weighting Functions'!$B$5:$G$1205,5,FALSE)</f>
        <v>0</v>
      </c>
      <c r="AI80" s="25">
        <f t="shared" si="14"/>
        <v>0</v>
      </c>
      <c r="AJ80" s="25">
        <f t="shared" si="15"/>
        <v>0</v>
      </c>
      <c r="AP80" s="20">
        <f>'IEC_EN62471- LED non-GLS'!E130</f>
        <v>405</v>
      </c>
      <c r="AQ80" s="20">
        <f t="shared" si="16"/>
        <v>1.7548227808861427</v>
      </c>
      <c r="AR80" s="25">
        <f>VLOOKUP(AP80,'Hazard Weighting Functions'!$B$5:$G$1205,3,FALSE)</f>
        <v>0.2</v>
      </c>
      <c r="AS80" s="25">
        <f t="shared" si="17"/>
        <v>0.35096455617722855</v>
      </c>
      <c r="AT80" s="25">
        <f t="shared" si="18"/>
        <v>5.4700311829118551</v>
      </c>
      <c r="AU80" s="20">
        <f t="shared" si="7"/>
        <v>405</v>
      </c>
      <c r="AV80" s="25">
        <f>O80</f>
        <v>2623.9450300157196</v>
      </c>
      <c r="AW80" s="25">
        <f>VLOOKUP(AU80,'Hazard Weighting Functions'!$B$5:$G$1205,3,FALSE)</f>
        <v>0.2</v>
      </c>
      <c r="AX80" s="25">
        <f t="shared" si="19"/>
        <v>524.78900600314398</v>
      </c>
      <c r="AY80" s="25">
        <f t="shared" si="20"/>
        <v>8844.9155988135644</v>
      </c>
      <c r="AZ80" s="20">
        <f t="shared" si="2"/>
        <v>402</v>
      </c>
      <c r="BA80" s="20">
        <f t="shared" si="2"/>
        <v>1584.2047614532482</v>
      </c>
      <c r="BB80" s="25">
        <f>VLOOKUP(AZ80,'Hazard Weighting Functions'!$B$5:$G$1205,3,FALSE)</f>
        <v>0.13195079100000001</v>
      </c>
      <c r="BC80" s="25">
        <f t="shared" si="21"/>
        <v>209.03707137972242</v>
      </c>
      <c r="BD80" s="25">
        <f t="shared" si="22"/>
        <v>646.88589085034914</v>
      </c>
      <c r="BF80" s="20">
        <f t="shared" si="35"/>
        <v>605</v>
      </c>
      <c r="BG80" s="20">
        <f t="shared" si="35"/>
        <v>0</v>
      </c>
      <c r="BH80" s="25">
        <f>VLOOKUP(BF80,'Hazard Weighting Functions'!$B$5:$G$1205,4,FALSE)</f>
        <v>1</v>
      </c>
      <c r="BI80" s="25">
        <f t="shared" si="24"/>
        <v>0</v>
      </c>
      <c r="BJ80" s="25">
        <f t="shared" si="25"/>
        <v>0</v>
      </c>
      <c r="BK80" s="1">
        <f t="shared" si="5"/>
        <v>405</v>
      </c>
      <c r="BL80" s="20">
        <f t="shared" si="5"/>
        <v>2623.9450300157196</v>
      </c>
      <c r="BM80" s="25">
        <f>VLOOKUP(BK80,'Hazard Weighting Functions'!$B$5:$G$1205,4,FALSE)</f>
        <v>2</v>
      </c>
      <c r="BN80" s="25">
        <f t="shared" si="26"/>
        <v>5247.8900600314391</v>
      </c>
      <c r="BO80" s="25">
        <f t="shared" si="34"/>
        <v>88449.155988135622</v>
      </c>
      <c r="BP80" s="20">
        <f t="shared" si="6"/>
        <v>402</v>
      </c>
      <c r="BQ80" s="20">
        <f t="shared" si="6"/>
        <v>1584.2047614532482</v>
      </c>
      <c r="BR80" s="25">
        <f>VLOOKUP(BP80,'Hazard Weighting Functions'!$B$5:$G$1205,4,FALSE)</f>
        <v>1.3195079110000001</v>
      </c>
      <c r="BS80" s="25">
        <f t="shared" si="28"/>
        <v>2090.3707153814289</v>
      </c>
      <c r="BT80" s="25">
        <f t="shared" si="29"/>
        <v>6468.8589025433539</v>
      </c>
      <c r="BV80" s="25">
        <f>VLOOKUP(BK80,'Hazard Weighting Functions'!$B$5:$G$1205,5,FALSE)</f>
        <v>6.4000000000000005E-4</v>
      </c>
      <c r="BW80" s="25">
        <f t="shared" si="30"/>
        <v>1.6793248192100607</v>
      </c>
      <c r="BX80" s="25">
        <f t="shared" si="31"/>
        <v>26.985464876537399</v>
      </c>
    </row>
    <row r="81" spans="2:76">
      <c r="B81" s="25">
        <v>304</v>
      </c>
      <c r="C81" s="36">
        <v>0</v>
      </c>
      <c r="E81" s="25">
        <v>304</v>
      </c>
      <c r="F81" s="36"/>
      <c r="H81" s="25">
        <v>304</v>
      </c>
      <c r="I81" s="36"/>
      <c r="K81" s="25">
        <v>1260</v>
      </c>
      <c r="L81" s="36"/>
      <c r="N81" s="25">
        <v>410</v>
      </c>
      <c r="O81" s="36">
        <v>7532.9430838057024</v>
      </c>
      <c r="Q81" s="25">
        <v>404</v>
      </c>
      <c r="R81" s="36">
        <v>2514.7810883944849</v>
      </c>
      <c r="V81" s="25">
        <f t="shared" si="8"/>
        <v>304</v>
      </c>
      <c r="W81" s="25">
        <f t="shared" si="8"/>
        <v>0</v>
      </c>
      <c r="Y81" s="25">
        <f t="shared" si="9"/>
        <v>304</v>
      </c>
      <c r="Z81" s="25">
        <f t="shared" si="9"/>
        <v>0</v>
      </c>
      <c r="AA81" s="25">
        <f>VLOOKUP(Y81,'Hazard Weighting Functions'!$B$5:$G$1205,2,FALSE)</f>
        <v>8.4900000000000003E-2</v>
      </c>
      <c r="AB81" s="25">
        <f t="shared" si="10"/>
        <v>0</v>
      </c>
      <c r="AC81" s="25">
        <f t="shared" si="11"/>
        <v>2.1480699468751611E-5</v>
      </c>
      <c r="AE81" s="25">
        <f>VLOOKUP(Y81,'Hazard Weighting Functions'!$B$5:$G$1205,3,FALSE)</f>
        <v>0.01</v>
      </c>
      <c r="AF81" s="25">
        <f t="shared" si="12"/>
        <v>0</v>
      </c>
      <c r="AG81" s="25">
        <f t="shared" si="13"/>
        <v>4.7314316010466104E-6</v>
      </c>
      <c r="AH81" s="25">
        <f>VLOOKUP(Y81,'Hazard Weighting Functions'!$B$5:$G$1205,5,FALSE)</f>
        <v>0</v>
      </c>
      <c r="AI81" s="25">
        <f t="shared" si="14"/>
        <v>0</v>
      </c>
      <c r="AJ81" s="25">
        <f t="shared" si="15"/>
        <v>0</v>
      </c>
      <c r="AP81" s="20">
        <f>'IEC_EN62471- LED non-GLS'!E131</f>
        <v>410</v>
      </c>
      <c r="AQ81" s="20">
        <f t="shared" si="16"/>
        <v>4.5926197924687839</v>
      </c>
      <c r="AR81" s="25">
        <f>VLOOKUP(AP81,'Hazard Weighting Functions'!$B$5:$G$1205,3,FALSE)</f>
        <v>0.4</v>
      </c>
      <c r="AS81" s="25">
        <f t="shared" si="17"/>
        <v>1.8370479169875136</v>
      </c>
      <c r="AT81" s="25">
        <f t="shared" si="18"/>
        <v>27.251814536258443</v>
      </c>
      <c r="AU81" s="20">
        <f t="shared" si="7"/>
        <v>410</v>
      </c>
      <c r="AV81" s="25">
        <f>O81</f>
        <v>7532.9430838057024</v>
      </c>
      <c r="AW81" s="25">
        <f>VLOOKUP(AU81,'Hazard Weighting Functions'!$B$5:$G$1205,3,FALSE)</f>
        <v>0.4</v>
      </c>
      <c r="AX81" s="25">
        <f t="shared" si="19"/>
        <v>3013.1772335222813</v>
      </c>
      <c r="AY81" s="25">
        <f t="shared" si="20"/>
        <v>46250.542069338182</v>
      </c>
      <c r="AZ81" s="20">
        <f t="shared" si="2"/>
        <v>404</v>
      </c>
      <c r="BA81" s="20">
        <f t="shared" si="2"/>
        <v>2514.7810883944849</v>
      </c>
      <c r="BB81" s="25">
        <f>VLOOKUP(AZ81,'Hazard Weighting Functions'!$B$5:$G$1205,3,FALSE)</f>
        <v>0.17411011300000001</v>
      </c>
      <c r="BC81" s="25">
        <f t="shared" si="21"/>
        <v>437.84881947062678</v>
      </c>
      <c r="BD81" s="25">
        <f t="shared" si="22"/>
        <v>1340.0240582935699</v>
      </c>
      <c r="BF81" s="20">
        <f t="shared" si="35"/>
        <v>610</v>
      </c>
      <c r="BG81" s="20">
        <f t="shared" si="35"/>
        <v>0</v>
      </c>
      <c r="BH81" s="25">
        <f>VLOOKUP(BF81,'Hazard Weighting Functions'!$B$5:$G$1205,4,FALSE)</f>
        <v>1</v>
      </c>
      <c r="BI81" s="25">
        <f t="shared" si="24"/>
        <v>0</v>
      </c>
      <c r="BJ81" s="25">
        <f t="shared" si="25"/>
        <v>0</v>
      </c>
      <c r="BK81" s="1">
        <f t="shared" si="5"/>
        <v>410</v>
      </c>
      <c r="BL81" s="20">
        <f t="shared" si="5"/>
        <v>7532.9430838057024</v>
      </c>
      <c r="BM81" s="25">
        <f>VLOOKUP(BK81,'Hazard Weighting Functions'!$B$5:$G$1205,4,FALSE)</f>
        <v>4</v>
      </c>
      <c r="BN81" s="25">
        <f t="shared" si="26"/>
        <v>30131.772335222809</v>
      </c>
      <c r="BO81" s="25">
        <f t="shared" si="34"/>
        <v>462505.42069338175</v>
      </c>
      <c r="BP81" s="20">
        <f t="shared" si="6"/>
        <v>404</v>
      </c>
      <c r="BQ81" s="20">
        <f t="shared" si="6"/>
        <v>2514.7810883944849</v>
      </c>
      <c r="BR81" s="25">
        <f>VLOOKUP(BP81,'Hazard Weighting Functions'!$B$5:$G$1205,4,FALSE)</f>
        <v>1.7411011270000001</v>
      </c>
      <c r="BS81" s="25">
        <f t="shared" si="28"/>
        <v>4378.4881871619245</v>
      </c>
      <c r="BT81" s="25">
        <f t="shared" si="29"/>
        <v>13400.240575391355</v>
      </c>
      <c r="BV81" s="25">
        <f>VLOOKUP(BK81,'Hazard Weighting Functions'!$B$5:$G$1205,5,FALSE)</f>
        <v>1.2099999999999999E-3</v>
      </c>
      <c r="BW81" s="25">
        <f t="shared" si="30"/>
        <v>9.1148611314048988</v>
      </c>
      <c r="BX81" s="25">
        <f t="shared" si="31"/>
        <v>128.29261006408825</v>
      </c>
    </row>
    <row r="82" spans="2:76">
      <c r="B82" s="25">
        <v>306</v>
      </c>
      <c r="C82" s="36">
        <v>4.7314316010466101E-4</v>
      </c>
      <c r="E82" s="25">
        <v>306</v>
      </c>
      <c r="F82" s="36"/>
      <c r="H82" s="25">
        <v>306</v>
      </c>
      <c r="I82" s="36"/>
      <c r="K82" s="25">
        <v>1265</v>
      </c>
      <c r="L82" s="36"/>
      <c r="N82" s="25">
        <v>415</v>
      </c>
      <c r="O82" s="36">
        <v>19358.799492766237</v>
      </c>
      <c r="Q82" s="25">
        <v>406</v>
      </c>
      <c r="R82" s="36">
        <v>3926.9458117355057</v>
      </c>
      <c r="V82" s="25">
        <f t="shared" si="8"/>
        <v>306</v>
      </c>
      <c r="W82" s="25">
        <f t="shared" si="8"/>
        <v>4.7314316010466101E-4</v>
      </c>
      <c r="Y82" s="25">
        <f t="shared" si="9"/>
        <v>306</v>
      </c>
      <c r="Z82" s="25">
        <f t="shared" si="9"/>
        <v>4.7314316010466101E-4</v>
      </c>
      <c r="AA82" s="25">
        <f>VLOOKUP(Y82,'Hazard Weighting Functions'!$B$5:$G$1205,2,FALSE)</f>
        <v>4.5400000000000003E-2</v>
      </c>
      <c r="AB82" s="25">
        <f t="shared" si="10"/>
        <v>2.1480699468751611E-5</v>
      </c>
      <c r="AC82" s="25">
        <f t="shared" si="11"/>
        <v>2.1480699468751611E-5</v>
      </c>
      <c r="AE82" s="25">
        <f>VLOOKUP(Y82,'Hazard Weighting Functions'!$B$5:$G$1205,3,FALSE)</f>
        <v>0.01</v>
      </c>
      <c r="AF82" s="25">
        <f t="shared" si="12"/>
        <v>4.7314316010466104E-6</v>
      </c>
      <c r="AG82" s="25">
        <f t="shared" si="13"/>
        <v>4.7314316010466104E-6</v>
      </c>
      <c r="AH82" s="25">
        <f>VLOOKUP(Y82,'Hazard Weighting Functions'!$B$5:$G$1205,5,FALSE)</f>
        <v>0</v>
      </c>
      <c r="AI82" s="25">
        <f t="shared" si="14"/>
        <v>0</v>
      </c>
      <c r="AJ82" s="25">
        <f t="shared" si="15"/>
        <v>0</v>
      </c>
      <c r="AP82" s="20">
        <f>'IEC_EN62471- LED non-GLS'!E132</f>
        <v>415</v>
      </c>
      <c r="AQ82" s="20">
        <f t="shared" si="16"/>
        <v>11.329597371894831</v>
      </c>
      <c r="AR82" s="25">
        <f>VLOOKUP(AP82,'Hazard Weighting Functions'!$B$5:$G$1205,3,FALSE)</f>
        <v>0.8</v>
      </c>
      <c r="AS82" s="25">
        <f t="shared" si="17"/>
        <v>9.0636778975158645</v>
      </c>
      <c r="AT82" s="25">
        <f t="shared" si="18"/>
        <v>79.427466124071415</v>
      </c>
      <c r="AU82" s="20">
        <f t="shared" si="7"/>
        <v>415</v>
      </c>
      <c r="AV82" s="25">
        <f>O82</f>
        <v>19358.799492766237</v>
      </c>
      <c r="AW82" s="25">
        <f>VLOOKUP(AU82,'Hazard Weighting Functions'!$B$5:$G$1205,3,FALSE)</f>
        <v>0.8</v>
      </c>
      <c r="AX82" s="25">
        <f t="shared" si="19"/>
        <v>15487.039594212991</v>
      </c>
      <c r="AY82" s="25">
        <f t="shared" si="20"/>
        <v>138326.7678238696</v>
      </c>
      <c r="AZ82" s="20">
        <f t="shared" si="2"/>
        <v>406</v>
      </c>
      <c r="BA82" s="20">
        <f t="shared" si="2"/>
        <v>3926.9458117355057</v>
      </c>
      <c r="BB82" s="25">
        <f>VLOOKUP(AZ82,'Hazard Weighting Functions'!$B$5:$G$1205,3,FALSE)</f>
        <v>0.22973967100000001</v>
      </c>
      <c r="BC82" s="25">
        <f t="shared" si="21"/>
        <v>902.17523882294302</v>
      </c>
      <c r="BD82" s="25">
        <f t="shared" si="22"/>
        <v>2743.0145700275079</v>
      </c>
      <c r="BF82" s="20">
        <f t="shared" si="35"/>
        <v>615</v>
      </c>
      <c r="BG82" s="20">
        <f t="shared" si="35"/>
        <v>0</v>
      </c>
      <c r="BH82" s="25">
        <f>VLOOKUP(BF82,'Hazard Weighting Functions'!$B$5:$G$1205,4,FALSE)</f>
        <v>1</v>
      </c>
      <c r="BI82" s="25">
        <f t="shared" si="24"/>
        <v>0</v>
      </c>
      <c r="BJ82" s="25">
        <f t="shared" si="25"/>
        <v>0</v>
      </c>
      <c r="BK82" s="1">
        <f t="shared" si="5"/>
        <v>415</v>
      </c>
      <c r="BL82" s="20">
        <f t="shared" si="5"/>
        <v>19358.799492766237</v>
      </c>
      <c r="BM82" s="25">
        <f>VLOOKUP(BK82,'Hazard Weighting Functions'!$B$5:$G$1205,4,FALSE)</f>
        <v>8</v>
      </c>
      <c r="BN82" s="25">
        <f t="shared" si="26"/>
        <v>154870.39594212989</v>
      </c>
      <c r="BO82" s="25">
        <f t="shared" si="34"/>
        <v>1383267.678238696</v>
      </c>
      <c r="BP82" s="20">
        <f t="shared" si="6"/>
        <v>406</v>
      </c>
      <c r="BQ82" s="20">
        <f t="shared" si="6"/>
        <v>3926.9458117355057</v>
      </c>
      <c r="BR82" s="25">
        <f>VLOOKUP(BP82,'Hazard Weighting Functions'!$B$5:$G$1205,4,FALSE)</f>
        <v>2.2973967100000001</v>
      </c>
      <c r="BS82" s="25">
        <f t="shared" si="28"/>
        <v>9021.7523882294299</v>
      </c>
      <c r="BT82" s="25">
        <f t="shared" si="29"/>
        <v>27430.145718492597</v>
      </c>
      <c r="BV82" s="25">
        <f>VLOOKUP(BK82,'Hazard Weighting Functions'!$B$5:$G$1205,5,FALSE)</f>
        <v>2.1800000000000001E-3</v>
      </c>
      <c r="BW82" s="25">
        <f t="shared" si="30"/>
        <v>42.202182894230397</v>
      </c>
      <c r="BX82" s="25">
        <f t="shared" si="31"/>
        <v>548.21287429485199</v>
      </c>
    </row>
    <row r="83" spans="2:76">
      <c r="B83" s="25">
        <v>308</v>
      </c>
      <c r="C83" s="36">
        <v>0</v>
      </c>
      <c r="E83" s="25">
        <v>308</v>
      </c>
      <c r="F83" s="36"/>
      <c r="H83" s="25">
        <v>308</v>
      </c>
      <c r="I83" s="36"/>
      <c r="K83" s="25">
        <v>1270</v>
      </c>
      <c r="L83" s="36"/>
      <c r="N83" s="25">
        <v>420</v>
      </c>
      <c r="O83" s="36">
        <v>44270.741705927605</v>
      </c>
      <c r="Q83" s="25">
        <v>408</v>
      </c>
      <c r="R83" s="36">
        <v>6072.5051560169659</v>
      </c>
      <c r="V83" s="25">
        <f t="shared" si="8"/>
        <v>308</v>
      </c>
      <c r="W83" s="25">
        <f t="shared" si="8"/>
        <v>0</v>
      </c>
      <c r="Y83" s="25">
        <f t="shared" si="9"/>
        <v>308</v>
      </c>
      <c r="Z83" s="25">
        <f t="shared" si="9"/>
        <v>0</v>
      </c>
      <c r="AA83" s="25">
        <f>VLOOKUP(Y83,'Hazard Weighting Functions'!$B$5:$G$1205,2,FALSE)</f>
        <v>2.5999999999999999E-2</v>
      </c>
      <c r="AB83" s="25">
        <f t="shared" si="10"/>
        <v>0</v>
      </c>
      <c r="AC83" s="25">
        <f t="shared" si="11"/>
        <v>3.3700166421535297E-5</v>
      </c>
      <c r="AE83" s="25">
        <f>VLOOKUP(Y83,'Hazard Weighting Functions'!$B$5:$G$1205,3,FALSE)</f>
        <v>0.01</v>
      </c>
      <c r="AF83" s="25">
        <f t="shared" si="12"/>
        <v>0</v>
      </c>
      <c r="AG83" s="25">
        <f t="shared" si="13"/>
        <v>2.2466777614356866E-5</v>
      </c>
      <c r="AH83" s="25">
        <f>VLOOKUP(Y83,'Hazard Weighting Functions'!$B$5:$G$1205,5,FALSE)</f>
        <v>0</v>
      </c>
      <c r="AI83" s="25">
        <f t="shared" si="14"/>
        <v>0</v>
      </c>
      <c r="AJ83" s="25">
        <f t="shared" si="15"/>
        <v>0</v>
      </c>
      <c r="AP83" s="20">
        <f>'IEC_EN62471- LED non-GLS'!E133</f>
        <v>420</v>
      </c>
      <c r="AQ83" s="20">
        <f t="shared" si="16"/>
        <v>25.230342835680776</v>
      </c>
      <c r="AR83" s="25">
        <f>VLOOKUP(AP83,'Hazard Weighting Functions'!$B$5:$G$1205,3,FALSE)</f>
        <v>0.9</v>
      </c>
      <c r="AS83" s="25">
        <f t="shared" si="17"/>
        <v>22.7073085521127</v>
      </c>
      <c r="AT83" s="25">
        <f t="shared" si="18"/>
        <v>175.57398851034463</v>
      </c>
      <c r="AU83" s="20">
        <f t="shared" si="7"/>
        <v>420</v>
      </c>
      <c r="AV83" s="25">
        <f>O83</f>
        <v>44270.741705927605</v>
      </c>
      <c r="AW83" s="25">
        <f>VLOOKUP(AU83,'Hazard Weighting Functions'!$B$5:$G$1205,3,FALSE)</f>
        <v>0.9</v>
      </c>
      <c r="AX83" s="25">
        <f t="shared" si="19"/>
        <v>39843.667535334847</v>
      </c>
      <c r="AY83" s="25">
        <f t="shared" si="20"/>
        <v>309012.14922063216</v>
      </c>
      <c r="AZ83" s="20">
        <f t="shared" si="2"/>
        <v>408</v>
      </c>
      <c r="BA83" s="20">
        <f t="shared" si="2"/>
        <v>6072.5051560169659</v>
      </c>
      <c r="BB83" s="25">
        <f>VLOOKUP(AZ83,'Hazard Weighting Functions'!$B$5:$G$1205,3,FALSE)</f>
        <v>0.30314331300000003</v>
      </c>
      <c r="BC83" s="25">
        <f t="shared" si="21"/>
        <v>1840.839331204565</v>
      </c>
      <c r="BD83" s="25">
        <f t="shared" si="22"/>
        <v>5550.6513014628163</v>
      </c>
      <c r="BF83" s="20">
        <f t="shared" si="35"/>
        <v>620</v>
      </c>
      <c r="BG83" s="20">
        <f t="shared" si="35"/>
        <v>0</v>
      </c>
      <c r="BH83" s="25">
        <f>VLOOKUP(BF83,'Hazard Weighting Functions'!$B$5:$G$1205,4,FALSE)</f>
        <v>1</v>
      </c>
      <c r="BI83" s="25">
        <f t="shared" si="24"/>
        <v>0</v>
      </c>
      <c r="BJ83" s="25">
        <f t="shared" si="25"/>
        <v>0</v>
      </c>
      <c r="BK83" s="1">
        <f t="shared" si="5"/>
        <v>420</v>
      </c>
      <c r="BL83" s="20">
        <f t="shared" si="5"/>
        <v>44270.741705927605</v>
      </c>
      <c r="BM83" s="25">
        <f>VLOOKUP(BK83,'Hazard Weighting Functions'!$B$5:$G$1205,4,FALSE)</f>
        <v>9</v>
      </c>
      <c r="BN83" s="25">
        <f t="shared" si="26"/>
        <v>398436.67535334843</v>
      </c>
      <c r="BO83" s="25">
        <f t="shared" si="34"/>
        <v>3090121.4922063211</v>
      </c>
      <c r="BP83" s="20">
        <f t="shared" si="6"/>
        <v>408</v>
      </c>
      <c r="BQ83" s="20">
        <f t="shared" si="6"/>
        <v>6072.5051560169659</v>
      </c>
      <c r="BR83" s="25">
        <f>VLOOKUP(BP83,'Hazard Weighting Functions'!$B$5:$G$1205,4,FALSE)</f>
        <v>3.0314331330000002</v>
      </c>
      <c r="BS83" s="25">
        <f t="shared" si="28"/>
        <v>18408.393330263167</v>
      </c>
      <c r="BT83" s="25">
        <f t="shared" si="29"/>
        <v>55506.513032845673</v>
      </c>
      <c r="BV83" s="25">
        <f>VLOOKUP(BK83,'Hazard Weighting Functions'!$B$5:$G$1205,5,FALSE)</f>
        <v>4.0000000000000001E-3</v>
      </c>
      <c r="BW83" s="25">
        <f t="shared" si="30"/>
        <v>177.08296682371042</v>
      </c>
      <c r="BX83" s="25">
        <f t="shared" si="31"/>
        <v>2051.8040031548062</v>
      </c>
    </row>
    <row r="84" spans="2:76">
      <c r="B84" s="25">
        <v>310</v>
      </c>
      <c r="C84" s="36">
        <v>2.2466777614356865E-3</v>
      </c>
      <c r="E84" s="25">
        <v>310</v>
      </c>
      <c r="F84" s="36"/>
      <c r="H84" s="25">
        <v>310</v>
      </c>
      <c r="I84" s="36"/>
      <c r="K84" s="25">
        <v>1275</v>
      </c>
      <c r="L84" s="36"/>
      <c r="N84" s="25">
        <v>425</v>
      </c>
      <c r="O84" s="36">
        <v>88169.675950439996</v>
      </c>
      <c r="Q84" s="25">
        <v>410</v>
      </c>
      <c r="R84" s="36">
        <v>9274.5299256456274</v>
      </c>
      <c r="V84" s="25">
        <f t="shared" si="8"/>
        <v>310</v>
      </c>
      <c r="W84" s="25">
        <f t="shared" si="8"/>
        <v>2.2466777614356865E-3</v>
      </c>
      <c r="Y84" s="25">
        <f t="shared" si="9"/>
        <v>310</v>
      </c>
      <c r="Z84" s="25">
        <f t="shared" si="9"/>
        <v>2.2466777614356865E-3</v>
      </c>
      <c r="AA84" s="25">
        <f>VLOOKUP(Y84,'Hazard Weighting Functions'!$B$5:$G$1205,2,FALSE)</f>
        <v>1.4999999999999999E-2</v>
      </c>
      <c r="AB84" s="25">
        <f t="shared" si="10"/>
        <v>3.3700166421535297E-5</v>
      </c>
      <c r="AC84" s="25">
        <f t="shared" si="11"/>
        <v>4.771878375139702E-5</v>
      </c>
      <c r="AE84" s="25">
        <f>VLOOKUP(Y84,'Hazard Weighting Functions'!$B$5:$G$1205,3,FALSE)</f>
        <v>0.01</v>
      </c>
      <c r="AF84" s="25">
        <f t="shared" si="12"/>
        <v>2.2466777614356866E-5</v>
      </c>
      <c r="AG84" s="25">
        <f t="shared" si="13"/>
        <v>3.977371258949479E-5</v>
      </c>
      <c r="AH84" s="25">
        <f>VLOOKUP(Y84,'Hazard Weighting Functions'!$B$5:$G$1205,5,FALSE)</f>
        <v>0</v>
      </c>
      <c r="AI84" s="25">
        <f t="shared" si="14"/>
        <v>0</v>
      </c>
      <c r="AJ84" s="25">
        <f t="shared" si="15"/>
        <v>0</v>
      </c>
      <c r="AP84" s="20">
        <f>'IEC_EN62471- LED non-GLS'!E134</f>
        <v>425</v>
      </c>
      <c r="AQ84" s="20">
        <f t="shared" si="16"/>
        <v>50.023459844236996</v>
      </c>
      <c r="AR84" s="25">
        <f>VLOOKUP(AP84,'Hazard Weighting Functions'!$B$5:$G$1205,3,FALSE)</f>
        <v>0.95</v>
      </c>
      <c r="AS84" s="25">
        <f t="shared" si="17"/>
        <v>47.522286852025147</v>
      </c>
      <c r="AT84" s="25">
        <f t="shared" si="18"/>
        <v>331.77614800207527</v>
      </c>
      <c r="AU84" s="20">
        <f t="shared" si="7"/>
        <v>425</v>
      </c>
      <c r="AV84" s="25">
        <f>O84</f>
        <v>88169.675950439996</v>
      </c>
      <c r="AW84" s="25">
        <f>VLOOKUP(AU84,'Hazard Weighting Functions'!$B$5:$G$1205,3,FALSE)</f>
        <v>0.95</v>
      </c>
      <c r="AX84" s="25">
        <f t="shared" si="19"/>
        <v>83761.192152917996</v>
      </c>
      <c r="AY84" s="25">
        <f t="shared" si="20"/>
        <v>587944.02764987131</v>
      </c>
      <c r="AZ84" s="20">
        <f t="shared" si="2"/>
        <v>410</v>
      </c>
      <c r="BA84" s="20">
        <f t="shared" si="2"/>
        <v>9274.5299256456274</v>
      </c>
      <c r="BB84" s="25">
        <f>VLOOKUP(AZ84,'Hazard Weighting Functions'!$B$5:$G$1205,3,FALSE)</f>
        <v>0.4</v>
      </c>
      <c r="BC84" s="25">
        <f t="shared" si="21"/>
        <v>3709.8119702582512</v>
      </c>
      <c r="BD84" s="25">
        <f t="shared" si="22"/>
        <v>11055.349725819864</v>
      </c>
      <c r="BF84" s="20">
        <f t="shared" si="35"/>
        <v>625</v>
      </c>
      <c r="BG84" s="20">
        <f t="shared" si="35"/>
        <v>0</v>
      </c>
      <c r="BH84" s="25">
        <f>VLOOKUP(BF84,'Hazard Weighting Functions'!$B$5:$G$1205,4,FALSE)</f>
        <v>1</v>
      </c>
      <c r="BI84" s="25">
        <f t="shared" si="24"/>
        <v>0</v>
      </c>
      <c r="BJ84" s="25">
        <f t="shared" si="25"/>
        <v>0</v>
      </c>
      <c r="BK84" s="1">
        <f t="shared" si="5"/>
        <v>425</v>
      </c>
      <c r="BL84" s="20">
        <f t="shared" si="5"/>
        <v>88169.675950439996</v>
      </c>
      <c r="BM84" s="25">
        <f>VLOOKUP(BK84,'Hazard Weighting Functions'!$B$5:$G$1205,4,FALSE)</f>
        <v>9.5</v>
      </c>
      <c r="BN84" s="25">
        <f t="shared" si="26"/>
        <v>837611.9215291799</v>
      </c>
      <c r="BO84" s="25">
        <f t="shared" si="34"/>
        <v>5879440.2764987126</v>
      </c>
      <c r="BP84" s="20">
        <f t="shared" si="6"/>
        <v>410</v>
      </c>
      <c r="BQ84" s="20">
        <f t="shared" si="6"/>
        <v>9274.5299256456274</v>
      </c>
      <c r="BR84" s="25">
        <f>VLOOKUP(BP84,'Hazard Weighting Functions'!$B$5:$G$1205,4,FALSE)</f>
        <v>4</v>
      </c>
      <c r="BS84" s="25">
        <f t="shared" si="28"/>
        <v>37098.119702582509</v>
      </c>
      <c r="BT84" s="25">
        <f t="shared" si="29"/>
        <v>110553.49729995021</v>
      </c>
      <c r="BV84" s="25">
        <f>VLOOKUP(BK84,'Hazard Weighting Functions'!$B$5:$G$1205,5,FALSE)</f>
        <v>7.3000000000000001E-3</v>
      </c>
      <c r="BW84" s="25">
        <f t="shared" si="30"/>
        <v>643.63863443821197</v>
      </c>
      <c r="BX84" s="25">
        <f t="shared" si="31"/>
        <v>6089.7865333443933</v>
      </c>
    </row>
    <row r="85" spans="2:76">
      <c r="B85" s="25">
        <v>312</v>
      </c>
      <c r="C85" s="36">
        <v>1.7306934975137927E-3</v>
      </c>
      <c r="E85" s="25">
        <v>312</v>
      </c>
      <c r="F85" s="36"/>
      <c r="H85" s="25">
        <v>312</v>
      </c>
      <c r="I85" s="36"/>
      <c r="K85" s="25">
        <v>1280</v>
      </c>
      <c r="L85" s="36"/>
      <c r="N85" s="25">
        <v>430</v>
      </c>
      <c r="O85" s="36">
        <v>154506.5499051332</v>
      </c>
      <c r="Q85" s="25">
        <v>412</v>
      </c>
      <c r="R85" s="36">
        <v>13917.191590692344</v>
      </c>
      <c r="V85" s="25">
        <f t="shared" si="8"/>
        <v>312</v>
      </c>
      <c r="W85" s="25">
        <f t="shared" si="8"/>
        <v>1.7306934975137927E-3</v>
      </c>
      <c r="Y85" s="25">
        <f t="shared" si="9"/>
        <v>312</v>
      </c>
      <c r="Z85" s="25">
        <f t="shared" si="9"/>
        <v>1.7306934975137927E-3</v>
      </c>
      <c r="AA85" s="25">
        <f>VLOOKUP(Y85,'Hazard Weighting Functions'!$B$5:$G$1205,2,FALSE)</f>
        <v>8.0999999999999996E-3</v>
      </c>
      <c r="AB85" s="25">
        <f t="shared" si="10"/>
        <v>1.4018617329861721E-5</v>
      </c>
      <c r="AC85" s="25">
        <f t="shared" si="11"/>
        <v>2.2223544109500288E-5</v>
      </c>
      <c r="AE85" s="25">
        <f>VLOOKUP(Y85,'Hazard Weighting Functions'!$B$5:$G$1205,3,FALSE)</f>
        <v>0.01</v>
      </c>
      <c r="AF85" s="25">
        <f t="shared" si="12"/>
        <v>1.7306934975137927E-5</v>
      </c>
      <c r="AG85" s="25">
        <f t="shared" si="13"/>
        <v>3.6842474926658327E-5</v>
      </c>
      <c r="AH85" s="25">
        <f>VLOOKUP(Y85,'Hazard Weighting Functions'!$B$5:$G$1205,5,FALSE)</f>
        <v>0</v>
      </c>
      <c r="AI85" s="25">
        <f t="shared" si="14"/>
        <v>0</v>
      </c>
      <c r="AJ85" s="25">
        <f t="shared" si="15"/>
        <v>0</v>
      </c>
      <c r="AP85" s="20">
        <f>'IEC_EN62471- LED non-GLS'!E135</f>
        <v>430</v>
      </c>
      <c r="AQ85" s="20">
        <f t="shared" si="16"/>
        <v>86.926706478372424</v>
      </c>
      <c r="AR85" s="25">
        <f>VLOOKUP(AP85,'Hazard Weighting Functions'!$B$5:$G$1205,3,FALSE)</f>
        <v>0.98</v>
      </c>
      <c r="AS85" s="25">
        <f t="shared" si="17"/>
        <v>85.188172348804969</v>
      </c>
      <c r="AT85" s="25">
        <f t="shared" si="18"/>
        <v>542.608043517341</v>
      </c>
      <c r="AU85" s="20">
        <f t="shared" si="7"/>
        <v>430</v>
      </c>
      <c r="AV85" s="25">
        <f>O85</f>
        <v>154506.5499051332</v>
      </c>
      <c r="AW85" s="25">
        <f>VLOOKUP(AU85,'Hazard Weighting Functions'!$B$5:$G$1205,3,FALSE)</f>
        <v>0.98</v>
      </c>
      <c r="AX85" s="25">
        <f t="shared" si="19"/>
        <v>151416.41890703054</v>
      </c>
      <c r="AY85" s="25">
        <f t="shared" si="20"/>
        <v>953993.66762249614</v>
      </c>
      <c r="AZ85" s="20">
        <f t="shared" si="2"/>
        <v>412</v>
      </c>
      <c r="BA85" s="20">
        <f t="shared" si="2"/>
        <v>13917.191590692344</v>
      </c>
      <c r="BB85" s="25">
        <f>VLOOKUP(AZ85,'Hazard Weighting Functions'!$B$5:$G$1205,3,FALSE)</f>
        <v>0.52780316400000005</v>
      </c>
      <c r="BC85" s="25">
        <f t="shared" si="21"/>
        <v>7345.5377555616133</v>
      </c>
      <c r="BD85" s="25">
        <f t="shared" si="22"/>
        <v>21503.992757084849</v>
      </c>
      <c r="BF85" s="20">
        <f t="shared" si="35"/>
        <v>630</v>
      </c>
      <c r="BG85" s="20">
        <f t="shared" si="35"/>
        <v>0</v>
      </c>
      <c r="BH85" s="25">
        <f>VLOOKUP(BF85,'Hazard Weighting Functions'!$B$5:$G$1205,4,FALSE)</f>
        <v>1</v>
      </c>
      <c r="BI85" s="25">
        <f t="shared" si="24"/>
        <v>0</v>
      </c>
      <c r="BJ85" s="25">
        <f t="shared" si="25"/>
        <v>0</v>
      </c>
      <c r="BK85" s="1">
        <f t="shared" si="5"/>
        <v>430</v>
      </c>
      <c r="BL85" s="20">
        <f t="shared" si="5"/>
        <v>154506.5499051332</v>
      </c>
      <c r="BM85" s="25">
        <f>VLOOKUP(BK85,'Hazard Weighting Functions'!$B$5:$G$1205,4,FALSE)</f>
        <v>9.8000000000000007</v>
      </c>
      <c r="BN85" s="25">
        <f t="shared" si="26"/>
        <v>1514164.1890703056</v>
      </c>
      <c r="BO85" s="25">
        <f t="shared" si="34"/>
        <v>9539936.6762249619</v>
      </c>
      <c r="BP85" s="20">
        <f t="shared" si="6"/>
        <v>412</v>
      </c>
      <c r="BQ85" s="20">
        <f t="shared" si="6"/>
        <v>13917.191590692344</v>
      </c>
      <c r="BR85" s="25">
        <f>VLOOKUP(BP85,'Hazard Weighting Functions'!$B$5:$G$1205,4,FALSE)</f>
        <v>5.2780316430000003</v>
      </c>
      <c r="BS85" s="25">
        <f t="shared" si="28"/>
        <v>73455.377597367697</v>
      </c>
      <c r="BT85" s="25">
        <f t="shared" si="29"/>
        <v>215039.92753128108</v>
      </c>
      <c r="BV85" s="25">
        <f>VLOOKUP(BK85,'Hazard Weighting Functions'!$B$5:$G$1205,5,FALSE)</f>
        <v>1.1599999999999999E-2</v>
      </c>
      <c r="BW85" s="25">
        <f t="shared" si="30"/>
        <v>1792.275978899545</v>
      </c>
      <c r="BX85" s="25">
        <f t="shared" si="31"/>
        <v>14171.312074025709</v>
      </c>
    </row>
    <row r="86" spans="2:76">
      <c r="B86" s="25">
        <v>314</v>
      </c>
      <c r="C86" s="36">
        <v>1.95355399515204E-3</v>
      </c>
      <c r="E86" s="25">
        <v>314</v>
      </c>
      <c r="F86" s="36"/>
      <c r="H86" s="25">
        <v>314</v>
      </c>
      <c r="I86" s="36"/>
      <c r="K86" s="25">
        <v>1285</v>
      </c>
      <c r="L86" s="36"/>
      <c r="N86" s="25">
        <v>435</v>
      </c>
      <c r="O86" s="36">
        <v>230181.04814196788</v>
      </c>
      <c r="Q86" s="25">
        <v>414</v>
      </c>
      <c r="R86" s="36">
        <v>20329.742451337359</v>
      </c>
      <c r="V86" s="25">
        <f t="shared" si="8"/>
        <v>314</v>
      </c>
      <c r="W86" s="25">
        <f t="shared" si="8"/>
        <v>1.95355399515204E-3</v>
      </c>
      <c r="Y86" s="25">
        <f t="shared" si="9"/>
        <v>314</v>
      </c>
      <c r="Z86" s="25">
        <f t="shared" si="9"/>
        <v>1.95355399515204E-3</v>
      </c>
      <c r="AA86" s="25">
        <f>VLOOKUP(Y86,'Hazard Weighting Functions'!$B$5:$G$1205,2,FALSE)</f>
        <v>4.1999999999999997E-3</v>
      </c>
      <c r="AB86" s="25">
        <f t="shared" si="10"/>
        <v>8.204926779638567E-6</v>
      </c>
      <c r="AC86" s="25">
        <f t="shared" si="11"/>
        <v>8.204926779638567E-6</v>
      </c>
      <c r="AD86" s="25">
        <f>0.5*0.5*(Y87-Y86)*(Z86+Z87)</f>
        <v>9.7677699757602E-4</v>
      </c>
      <c r="AE86" s="25">
        <f>VLOOKUP(Y86,'Hazard Weighting Functions'!$B$5:$G$1205,3,FALSE)</f>
        <v>0.01</v>
      </c>
      <c r="AF86" s="25">
        <f t="shared" si="12"/>
        <v>1.95355399515204E-5</v>
      </c>
      <c r="AG86" s="25">
        <f t="shared" si="13"/>
        <v>1.95355399515204E-5</v>
      </c>
      <c r="AH86" s="25">
        <f>VLOOKUP(Y86,'Hazard Weighting Functions'!$B$5:$G$1205,5,FALSE)</f>
        <v>0</v>
      </c>
      <c r="AI86" s="25">
        <f t="shared" si="14"/>
        <v>0</v>
      </c>
      <c r="AJ86" s="25">
        <f t="shared" si="15"/>
        <v>0</v>
      </c>
      <c r="AP86" s="20">
        <f>'IEC_EN62471- LED non-GLS'!E136</f>
        <v>435</v>
      </c>
      <c r="AQ86" s="20">
        <f t="shared" si="16"/>
        <v>131.85504505813142</v>
      </c>
      <c r="AR86" s="25">
        <f>VLOOKUP(AP86,'Hazard Weighting Functions'!$B$5:$G$1205,3,FALSE)</f>
        <v>1</v>
      </c>
      <c r="AS86" s="25">
        <f t="shared" si="17"/>
        <v>131.85504505813142</v>
      </c>
      <c r="AT86" s="25">
        <f t="shared" si="18"/>
        <v>758.79591052730814</v>
      </c>
      <c r="AU86" s="20">
        <f t="shared" si="7"/>
        <v>435</v>
      </c>
      <c r="AV86" s="25">
        <f>O86</f>
        <v>230181.04814196788</v>
      </c>
      <c r="AW86" s="25">
        <f>VLOOKUP(AU86,'Hazard Weighting Functions'!$B$5:$G$1205,3,FALSE)</f>
        <v>1</v>
      </c>
      <c r="AX86" s="25">
        <f t="shared" si="19"/>
        <v>230181.04814196788</v>
      </c>
      <c r="AY86" s="25">
        <f t="shared" si="20"/>
        <v>1312811.3044416669</v>
      </c>
      <c r="AZ86" s="20">
        <f t="shared" si="2"/>
        <v>414</v>
      </c>
      <c r="BA86" s="20">
        <f t="shared" si="2"/>
        <v>20329.742451337359</v>
      </c>
      <c r="BB86" s="25">
        <f>VLOOKUP(AZ86,'Hazard Weighting Functions'!$B$5:$G$1205,3,FALSE)</f>
        <v>0.69644045099999996</v>
      </c>
      <c r="BC86" s="25">
        <f t="shared" si="21"/>
        <v>14158.455001523234</v>
      </c>
      <c r="BD86" s="25">
        <f t="shared" si="22"/>
        <v>38544.385823471493</v>
      </c>
      <c r="BF86" s="20">
        <f t="shared" si="35"/>
        <v>635</v>
      </c>
      <c r="BG86" s="20">
        <f t="shared" si="35"/>
        <v>0</v>
      </c>
      <c r="BH86" s="25">
        <f>VLOOKUP(BF86,'Hazard Weighting Functions'!$B$5:$G$1205,4,FALSE)</f>
        <v>1</v>
      </c>
      <c r="BI86" s="25">
        <f t="shared" si="24"/>
        <v>0</v>
      </c>
      <c r="BJ86" s="25">
        <f t="shared" si="25"/>
        <v>0</v>
      </c>
      <c r="BK86" s="1">
        <f t="shared" si="5"/>
        <v>435</v>
      </c>
      <c r="BL86" s="20">
        <f t="shared" si="5"/>
        <v>230181.04814196788</v>
      </c>
      <c r="BM86" s="25">
        <f>VLOOKUP(BK86,'Hazard Weighting Functions'!$B$5:$G$1205,4,FALSE)</f>
        <v>10</v>
      </c>
      <c r="BN86" s="25">
        <f t="shared" si="26"/>
        <v>2301810.4814196788</v>
      </c>
      <c r="BO86" s="25">
        <f t="shared" si="34"/>
        <v>13128113.044416666</v>
      </c>
      <c r="BP86" s="20">
        <f t="shared" si="6"/>
        <v>414</v>
      </c>
      <c r="BQ86" s="20">
        <f t="shared" si="6"/>
        <v>20329.742451337359</v>
      </c>
      <c r="BR86" s="25">
        <f>VLOOKUP(BP86,'Hazard Weighting Functions'!$B$5:$G$1205,4,FALSE)</f>
        <v>6.9644045060000002</v>
      </c>
      <c r="BS86" s="25">
        <f t="shared" si="28"/>
        <v>141584.5499339134</v>
      </c>
      <c r="BT86" s="25">
        <f t="shared" si="29"/>
        <v>385443.85827248695</v>
      </c>
      <c r="BV86" s="25">
        <f>VLOOKUP(BK86,'Hazard Weighting Functions'!$B$5:$G$1205,5,FALSE)</f>
        <v>1.6840000000000001E-2</v>
      </c>
      <c r="BW86" s="25">
        <f t="shared" si="30"/>
        <v>3876.2488507107391</v>
      </c>
      <c r="BX86" s="25">
        <f t="shared" si="31"/>
        <v>26649.871860772029</v>
      </c>
    </row>
    <row r="87" spans="2:76">
      <c r="B87" s="25">
        <v>316</v>
      </c>
      <c r="C87" s="36">
        <v>0</v>
      </c>
      <c r="E87" s="25">
        <v>316</v>
      </c>
      <c r="F87" s="36"/>
      <c r="H87" s="25">
        <v>316</v>
      </c>
      <c r="I87" s="36"/>
      <c r="K87" s="25">
        <v>1290</v>
      </c>
      <c r="L87" s="36"/>
      <c r="N87" s="25">
        <v>440</v>
      </c>
      <c r="O87" s="36">
        <v>294943.47363469884</v>
      </c>
      <c r="Q87" s="25">
        <v>416</v>
      </c>
      <c r="R87" s="36">
        <v>29772.742837120299</v>
      </c>
      <c r="V87" s="25">
        <f t="shared" si="8"/>
        <v>316</v>
      </c>
      <c r="W87" s="25">
        <f t="shared" si="8"/>
        <v>0</v>
      </c>
      <c r="Y87" s="25">
        <f t="shared" si="9"/>
        <v>316</v>
      </c>
      <c r="Z87" s="25">
        <f t="shared" si="9"/>
        <v>0</v>
      </c>
      <c r="AA87" s="25">
        <f>VLOOKUP(Y87,'Hazard Weighting Functions'!$B$5:$G$1205,2,FALSE)</f>
        <v>2.3999999999999998E-3</v>
      </c>
      <c r="AB87" s="25">
        <f t="shared" si="10"/>
        <v>0</v>
      </c>
      <c r="AC87" s="25">
        <f t="shared" si="11"/>
        <v>0</v>
      </c>
      <c r="AD87" s="25">
        <f t="shared" ref="AD87:AD127" si="36">0.5*(Y88-Y87)*(Z87+Z88)</f>
        <v>0</v>
      </c>
      <c r="AE87" s="25">
        <f>VLOOKUP(Y87,'Hazard Weighting Functions'!$B$5:$G$1205,3,FALSE)</f>
        <v>0.01</v>
      </c>
      <c r="AF87" s="25">
        <f t="shared" si="12"/>
        <v>0</v>
      </c>
      <c r="AG87" s="25">
        <f t="shared" si="13"/>
        <v>0</v>
      </c>
      <c r="AH87" s="25">
        <f>VLOOKUP(Y87,'Hazard Weighting Functions'!$B$5:$G$1205,5,FALSE)</f>
        <v>0</v>
      </c>
      <c r="AI87" s="25">
        <f t="shared" si="14"/>
        <v>0</v>
      </c>
      <c r="AJ87" s="25">
        <f t="shared" si="15"/>
        <v>0</v>
      </c>
      <c r="AP87" s="20">
        <f>'IEC_EN62471- LED non-GLS'!E137</f>
        <v>440</v>
      </c>
      <c r="AQ87" s="20">
        <f t="shared" si="16"/>
        <v>171.66331915279184</v>
      </c>
      <c r="AR87" s="25">
        <f>VLOOKUP(AP87,'Hazard Weighting Functions'!$B$5:$G$1205,3,FALSE)</f>
        <v>1</v>
      </c>
      <c r="AS87" s="25">
        <f t="shared" si="17"/>
        <v>171.66331915279184</v>
      </c>
      <c r="AT87" s="25">
        <f t="shared" si="18"/>
        <v>920.52026140245005</v>
      </c>
      <c r="AU87" s="20">
        <f t="shared" si="7"/>
        <v>440</v>
      </c>
      <c r="AV87" s="25">
        <f>O87</f>
        <v>294943.47363469884</v>
      </c>
      <c r="AW87" s="25">
        <f>VLOOKUP(AU87,'Hazard Weighting Functions'!$B$5:$G$1205,3,FALSE)</f>
        <v>1</v>
      </c>
      <c r="AX87" s="25">
        <f t="shared" si="19"/>
        <v>294943.47363469884</v>
      </c>
      <c r="AY87" s="25">
        <f t="shared" si="20"/>
        <v>1575700.3382258969</v>
      </c>
      <c r="AZ87" s="20">
        <f t="shared" si="2"/>
        <v>416</v>
      </c>
      <c r="BA87" s="20">
        <f t="shared" si="2"/>
        <v>29772.742837120299</v>
      </c>
      <c r="BB87" s="25">
        <f>VLOOKUP(AZ87,'Hazard Weighting Functions'!$B$5:$G$1205,3,FALSE)</f>
        <v>0.81906900400000004</v>
      </c>
      <c r="BC87" s="25">
        <f t="shared" si="21"/>
        <v>24385.930821948259</v>
      </c>
      <c r="BD87" s="25">
        <f t="shared" si="22"/>
        <v>60660.372213911338</v>
      </c>
      <c r="BF87" s="20">
        <f t="shared" si="35"/>
        <v>640</v>
      </c>
      <c r="BG87" s="20">
        <f t="shared" si="35"/>
        <v>0</v>
      </c>
      <c r="BH87" s="25">
        <f>VLOOKUP(BF87,'Hazard Weighting Functions'!$B$5:$G$1205,4,FALSE)</f>
        <v>1</v>
      </c>
      <c r="BI87" s="25">
        <f t="shared" si="24"/>
        <v>0</v>
      </c>
      <c r="BJ87" s="25">
        <f t="shared" si="25"/>
        <v>0</v>
      </c>
      <c r="BK87" s="1">
        <f t="shared" si="5"/>
        <v>440</v>
      </c>
      <c r="BL87" s="20">
        <f t="shared" si="5"/>
        <v>294943.47363469884</v>
      </c>
      <c r="BM87" s="25">
        <f>VLOOKUP(BK87,'Hazard Weighting Functions'!$B$5:$G$1205,4,FALSE)</f>
        <v>10</v>
      </c>
      <c r="BN87" s="25">
        <f t="shared" si="26"/>
        <v>2949434.7363469885</v>
      </c>
      <c r="BO87" s="25">
        <f t="shared" si="34"/>
        <v>15757003.38225897</v>
      </c>
      <c r="BP87" s="20">
        <f t="shared" si="6"/>
        <v>416</v>
      </c>
      <c r="BQ87" s="20">
        <f t="shared" si="6"/>
        <v>29772.742837120299</v>
      </c>
      <c r="BR87" s="25">
        <f>VLOOKUP(BP87,'Hazard Weighting Functions'!$B$5:$G$1205,4,FALSE)</f>
        <v>8.1906900440000001</v>
      </c>
      <c r="BS87" s="25">
        <f t="shared" si="28"/>
        <v>243859.30833857355</v>
      </c>
      <c r="BT87" s="25">
        <f t="shared" si="29"/>
        <v>606603.7221314566</v>
      </c>
      <c r="BV87" s="25">
        <f>VLOOKUP(BK87,'Hazard Weighting Functions'!$B$5:$G$1205,5,FALSE)</f>
        <v>2.3E-2</v>
      </c>
      <c r="BW87" s="25">
        <f t="shared" si="30"/>
        <v>6783.6998935980728</v>
      </c>
      <c r="BX87" s="25">
        <f t="shared" si="31"/>
        <v>42714.488180744316</v>
      </c>
    </row>
    <row r="88" spans="2:76">
      <c r="B88" s="25">
        <v>318</v>
      </c>
      <c r="C88" s="36">
        <v>0</v>
      </c>
      <c r="E88" s="25">
        <v>318</v>
      </c>
      <c r="F88" s="36"/>
      <c r="H88" s="25">
        <v>318</v>
      </c>
      <c r="I88" s="36"/>
      <c r="K88" s="25">
        <v>1295</v>
      </c>
      <c r="L88" s="36"/>
      <c r="N88" s="25">
        <v>445</v>
      </c>
      <c r="O88" s="36">
        <v>345707.89861408243</v>
      </c>
      <c r="Q88" s="25">
        <v>418</v>
      </c>
      <c r="R88" s="36">
        <v>42249.272255081167</v>
      </c>
      <c r="V88" s="25">
        <f t="shared" si="8"/>
        <v>318</v>
      </c>
      <c r="W88" s="25">
        <f t="shared" si="8"/>
        <v>0</v>
      </c>
      <c r="Y88" s="25">
        <f t="shared" si="9"/>
        <v>318</v>
      </c>
      <c r="Z88" s="25">
        <f t="shared" si="9"/>
        <v>0</v>
      </c>
      <c r="AA88" s="25">
        <f>VLOOKUP(Y88,'Hazard Weighting Functions'!$B$5:$G$1205,2,FALSE)</f>
        <v>1.6000000000000001E-3</v>
      </c>
      <c r="AB88" s="25">
        <f t="shared" si="10"/>
        <v>0</v>
      </c>
      <c r="AC88" s="25">
        <f t="shared" si="11"/>
        <v>8.3917326148968122E-7</v>
      </c>
      <c r="AD88" s="25">
        <f t="shared" si="36"/>
        <v>8.3917326148968117E-4</v>
      </c>
      <c r="AE88" s="25">
        <f>VLOOKUP(Y88,'Hazard Weighting Functions'!$B$5:$G$1205,3,FALSE)</f>
        <v>0.01</v>
      </c>
      <c r="AF88" s="25">
        <f t="shared" si="12"/>
        <v>0</v>
      </c>
      <c r="AG88" s="25">
        <f t="shared" si="13"/>
        <v>8.3917326148968126E-6</v>
      </c>
      <c r="AH88" s="25">
        <f>VLOOKUP(Y88,'Hazard Weighting Functions'!$B$5:$G$1205,5,FALSE)</f>
        <v>0</v>
      </c>
      <c r="AI88" s="25">
        <f t="shared" si="14"/>
        <v>0</v>
      </c>
      <c r="AJ88" s="25">
        <f t="shared" si="15"/>
        <v>0</v>
      </c>
      <c r="AP88" s="20">
        <f>'IEC_EN62471- LED non-GLS'!E138</f>
        <v>445</v>
      </c>
      <c r="AQ88" s="20">
        <f t="shared" si="16"/>
        <v>202.62349011153421</v>
      </c>
      <c r="AR88" s="25">
        <f>VLOOKUP(AP88,'Hazard Weighting Functions'!$B$5:$G$1205,3,FALSE)</f>
        <v>0.97</v>
      </c>
      <c r="AS88" s="25">
        <f t="shared" si="17"/>
        <v>196.54478540818818</v>
      </c>
      <c r="AT88" s="25">
        <f t="shared" si="18"/>
        <v>1004.8384159440982</v>
      </c>
      <c r="AU88" s="20">
        <f t="shared" si="7"/>
        <v>445</v>
      </c>
      <c r="AV88" s="25">
        <f>O88</f>
        <v>345707.89861408243</v>
      </c>
      <c r="AW88" s="25">
        <f>VLOOKUP(AU88,'Hazard Weighting Functions'!$B$5:$G$1205,3,FALSE)</f>
        <v>0.97</v>
      </c>
      <c r="AX88" s="25">
        <f t="shared" si="19"/>
        <v>335336.66165565996</v>
      </c>
      <c r="AY88" s="25">
        <f t="shared" si="20"/>
        <v>1694420.5165431115</v>
      </c>
      <c r="AZ88" s="20">
        <f t="shared" si="2"/>
        <v>418</v>
      </c>
      <c r="BA88" s="20">
        <f t="shared" si="2"/>
        <v>42249.272255081167</v>
      </c>
      <c r="BB88" s="25">
        <f>VLOOKUP(AZ88,'Hazard Weighting Functions'!$B$5:$G$1205,3,FALSE)</f>
        <v>0.858581449</v>
      </c>
      <c r="BC88" s="25">
        <f t="shared" si="21"/>
        <v>36274.441391963082</v>
      </c>
      <c r="BD88" s="25">
        <f t="shared" si="22"/>
        <v>88839.195895367389</v>
      </c>
      <c r="BF88" s="20">
        <f t="shared" si="35"/>
        <v>645</v>
      </c>
      <c r="BG88" s="20">
        <f t="shared" si="35"/>
        <v>0</v>
      </c>
      <c r="BH88" s="25">
        <f>VLOOKUP(BF88,'Hazard Weighting Functions'!$B$5:$G$1205,4,FALSE)</f>
        <v>1</v>
      </c>
      <c r="BI88" s="25">
        <f t="shared" si="24"/>
        <v>0</v>
      </c>
      <c r="BJ88" s="25">
        <f t="shared" si="25"/>
        <v>0</v>
      </c>
      <c r="BK88" s="1">
        <f t="shared" si="5"/>
        <v>445</v>
      </c>
      <c r="BL88" s="20">
        <f t="shared" si="5"/>
        <v>345707.89861408243</v>
      </c>
      <c r="BM88" s="25">
        <f>VLOOKUP(BK88,'Hazard Weighting Functions'!$B$5:$G$1205,4,FALSE)</f>
        <v>9.6999999999999993</v>
      </c>
      <c r="BN88" s="25">
        <f t="shared" si="26"/>
        <v>3353366.6165565993</v>
      </c>
      <c r="BO88" s="25">
        <f t="shared" si="34"/>
        <v>16944205.16543112</v>
      </c>
      <c r="BP88" s="20">
        <f t="shared" si="6"/>
        <v>418</v>
      </c>
      <c r="BQ88" s="20">
        <f t="shared" si="6"/>
        <v>42249.272255081167</v>
      </c>
      <c r="BR88" s="25">
        <f>VLOOKUP(BP88,'Hazard Weighting Functions'!$B$5:$G$1205,4,FALSE)</f>
        <v>8.5858144870000004</v>
      </c>
      <c r="BS88" s="25">
        <f t="shared" si="28"/>
        <v>362744.41379288305</v>
      </c>
      <c r="BT88" s="25">
        <f t="shared" si="29"/>
        <v>888391.95882692607</v>
      </c>
      <c r="BV88" s="25">
        <f>VLOOKUP(BK88,'Hazard Weighting Functions'!$B$5:$G$1205,5,FALSE)</f>
        <v>2.98E-2</v>
      </c>
      <c r="BW88" s="25">
        <f t="shared" si="30"/>
        <v>10302.095378699656</v>
      </c>
      <c r="BX88" s="25">
        <f t="shared" si="31"/>
        <v>60362.681820526326</v>
      </c>
    </row>
    <row r="89" spans="2:76">
      <c r="B89" s="25">
        <v>320</v>
      </c>
      <c r="C89" s="36">
        <v>8.3917326148968117E-4</v>
      </c>
      <c r="E89" s="25">
        <v>320</v>
      </c>
      <c r="F89" s="36"/>
      <c r="H89" s="25">
        <v>320</v>
      </c>
      <c r="I89" s="36"/>
      <c r="K89" s="25">
        <v>1300</v>
      </c>
      <c r="L89" s="36"/>
      <c r="N89" s="25">
        <v>450</v>
      </c>
      <c r="O89" s="36">
        <v>364288.87761870713</v>
      </c>
      <c r="Q89" s="25">
        <v>420</v>
      </c>
      <c r="R89" s="36">
        <v>58405.282781560338</v>
      </c>
      <c r="V89" s="25">
        <f t="shared" si="8"/>
        <v>320</v>
      </c>
      <c r="W89" s="25">
        <f t="shared" si="8"/>
        <v>8.3917326148968117E-4</v>
      </c>
      <c r="Y89" s="25">
        <f t="shared" si="9"/>
        <v>320</v>
      </c>
      <c r="Z89" s="25">
        <f t="shared" si="9"/>
        <v>8.3917326148968117E-4</v>
      </c>
      <c r="AA89" s="25">
        <f>VLOOKUP(Y89,'Hazard Weighting Functions'!$B$5:$G$1205,2,FALSE)</f>
        <v>1E-3</v>
      </c>
      <c r="AB89" s="25">
        <f t="shared" si="10"/>
        <v>8.3917326148968122E-7</v>
      </c>
      <c r="AC89" s="25">
        <f t="shared" si="11"/>
        <v>2.8340035042814643E-6</v>
      </c>
      <c r="AD89" s="25">
        <f t="shared" si="36"/>
        <v>3.816531832820701E-3</v>
      </c>
      <c r="AE89" s="25">
        <f>VLOOKUP(Y89,'Hazard Weighting Functions'!$B$5:$G$1205,3,FALSE)</f>
        <v>0.01</v>
      </c>
      <c r="AF89" s="25">
        <f t="shared" si="12"/>
        <v>8.3917326148968126E-6</v>
      </c>
      <c r="AG89" s="25">
        <f t="shared" si="13"/>
        <v>3.8165318328207013E-5</v>
      </c>
      <c r="AH89" s="25">
        <f>VLOOKUP(Y89,'Hazard Weighting Functions'!$B$5:$G$1205,5,FALSE)</f>
        <v>0</v>
      </c>
      <c r="AI89" s="25">
        <f t="shared" si="14"/>
        <v>0</v>
      </c>
      <c r="AJ89" s="25">
        <f t="shared" si="15"/>
        <v>0</v>
      </c>
      <c r="AP89" s="20">
        <f>'IEC_EN62471- LED non-GLS'!E139</f>
        <v>450</v>
      </c>
      <c r="AQ89" s="20">
        <f t="shared" si="16"/>
        <v>218.50061805260756</v>
      </c>
      <c r="AR89" s="25">
        <f>VLOOKUP(AP89,'Hazard Weighting Functions'!$B$5:$G$1205,3,FALSE)</f>
        <v>0.94</v>
      </c>
      <c r="AS89" s="25">
        <f t="shared" si="17"/>
        <v>205.39058096945109</v>
      </c>
      <c r="AT89" s="25">
        <f t="shared" si="18"/>
        <v>925.93567561298983</v>
      </c>
      <c r="AU89" s="20">
        <f t="shared" si="7"/>
        <v>450</v>
      </c>
      <c r="AV89" s="25">
        <f>O89</f>
        <v>364288.87761870713</v>
      </c>
      <c r="AW89" s="25">
        <f>VLOOKUP(AU89,'Hazard Weighting Functions'!$B$5:$G$1205,3,FALSE)</f>
        <v>0.94</v>
      </c>
      <c r="AX89" s="25">
        <f t="shared" si="19"/>
        <v>342431.54496158467</v>
      </c>
      <c r="AY89" s="25">
        <f t="shared" si="20"/>
        <v>1510231.5272045094</v>
      </c>
      <c r="AZ89" s="20">
        <f t="shared" si="2"/>
        <v>420</v>
      </c>
      <c r="BA89" s="20">
        <f t="shared" si="2"/>
        <v>58405.282781560338</v>
      </c>
      <c r="BB89" s="25">
        <f>VLOOKUP(AZ89,'Hazard Weighting Functions'!$B$5:$G$1205,3,FALSE)</f>
        <v>0.9</v>
      </c>
      <c r="BC89" s="25">
        <f t="shared" si="21"/>
        <v>52564.754503404307</v>
      </c>
      <c r="BD89" s="25">
        <f t="shared" si="22"/>
        <v>125826.36495933382</v>
      </c>
      <c r="BF89" s="20">
        <f t="shared" si="35"/>
        <v>650</v>
      </c>
      <c r="BG89" s="20">
        <f t="shared" si="35"/>
        <v>0</v>
      </c>
      <c r="BH89" s="25">
        <f>VLOOKUP(BF89,'Hazard Weighting Functions'!$B$5:$G$1205,4,FALSE)</f>
        <v>1</v>
      </c>
      <c r="BI89" s="25">
        <f t="shared" si="24"/>
        <v>0</v>
      </c>
      <c r="BJ89" s="25">
        <f t="shared" si="25"/>
        <v>0</v>
      </c>
      <c r="BK89" s="1">
        <f t="shared" si="5"/>
        <v>450</v>
      </c>
      <c r="BL89" s="20">
        <f t="shared" si="5"/>
        <v>364288.87761870713</v>
      </c>
      <c r="BM89" s="25">
        <f>VLOOKUP(BK89,'Hazard Weighting Functions'!$B$5:$G$1205,4,FALSE)</f>
        <v>9.4</v>
      </c>
      <c r="BN89" s="25">
        <f t="shared" si="26"/>
        <v>3424315.4496158473</v>
      </c>
      <c r="BO89" s="25">
        <f t="shared" si="34"/>
        <v>15102315.272045098</v>
      </c>
      <c r="BP89" s="20">
        <f t="shared" si="6"/>
        <v>420</v>
      </c>
      <c r="BQ89" s="20">
        <f t="shared" si="6"/>
        <v>58405.282781560338</v>
      </c>
      <c r="BR89" s="25">
        <f>VLOOKUP(BP89,'Hazard Weighting Functions'!$B$5:$G$1205,4,FALSE)</f>
        <v>9</v>
      </c>
      <c r="BS89" s="25">
        <f t="shared" si="28"/>
        <v>525647.54503404303</v>
      </c>
      <c r="BT89" s="25">
        <f t="shared" si="29"/>
        <v>1258263.6497526586</v>
      </c>
      <c r="BV89" s="25">
        <f>VLOOKUP(BK89,'Hazard Weighting Functions'!$B$5:$G$1205,5,FALSE)</f>
        <v>3.7999999999999999E-2</v>
      </c>
      <c r="BW89" s="25">
        <f t="shared" si="30"/>
        <v>13842.977349510871</v>
      </c>
      <c r="BX89" s="25">
        <f t="shared" si="31"/>
        <v>69495.585496473068</v>
      </c>
    </row>
    <row r="90" spans="2:76">
      <c r="B90" s="25">
        <v>322</v>
      </c>
      <c r="C90" s="36">
        <v>2.9773585713310196E-3</v>
      </c>
      <c r="E90" s="25">
        <v>322</v>
      </c>
      <c r="F90" s="36"/>
      <c r="H90" s="25">
        <v>322</v>
      </c>
      <c r="I90" s="36"/>
      <c r="K90" s="25">
        <v>1305</v>
      </c>
      <c r="L90" s="36"/>
      <c r="N90" s="25">
        <v>455</v>
      </c>
      <c r="O90" s="36">
        <v>290734.51768913242</v>
      </c>
      <c r="Q90" s="25">
        <v>422</v>
      </c>
      <c r="R90" s="36">
        <v>79660.22221291528</v>
      </c>
      <c r="V90" s="25">
        <f t="shared" si="8"/>
        <v>322</v>
      </c>
      <c r="W90" s="25">
        <f t="shared" si="8"/>
        <v>2.9773585713310196E-3</v>
      </c>
      <c r="Y90" s="25">
        <f t="shared" si="9"/>
        <v>322</v>
      </c>
      <c r="Z90" s="25">
        <f t="shared" si="9"/>
        <v>2.9773585713310196E-3</v>
      </c>
      <c r="AA90" s="25">
        <f>VLOOKUP(Y90,'Hazard Weighting Functions'!$B$5:$G$1205,2,FALSE)</f>
        <v>6.7000000000000002E-4</v>
      </c>
      <c r="AB90" s="25">
        <f t="shared" si="10"/>
        <v>1.9948302427917833E-6</v>
      </c>
      <c r="AC90" s="25">
        <f t="shared" si="11"/>
        <v>3.4220664502683162E-6</v>
      </c>
      <c r="AD90" s="25">
        <f t="shared" si="36"/>
        <v>5.7220435857089679E-3</v>
      </c>
      <c r="AE90" s="25">
        <f>VLOOKUP(Y90,'Hazard Weighting Functions'!$B$5:$G$1205,3,FALSE)</f>
        <v>0.01</v>
      </c>
      <c r="AF90" s="25">
        <f t="shared" si="12"/>
        <v>2.9773585713310197E-5</v>
      </c>
      <c r="AG90" s="25">
        <f t="shared" si="13"/>
        <v>5.7220435857089676E-5</v>
      </c>
      <c r="AH90" s="25">
        <f>VLOOKUP(Y90,'Hazard Weighting Functions'!$B$5:$G$1205,5,FALSE)</f>
        <v>0</v>
      </c>
      <c r="AI90" s="25">
        <f t="shared" si="14"/>
        <v>0</v>
      </c>
      <c r="AJ90" s="25">
        <f t="shared" si="15"/>
        <v>0</v>
      </c>
      <c r="AP90" s="20">
        <f>'IEC_EN62471- LED non-GLS'!E140</f>
        <v>455</v>
      </c>
      <c r="AQ90" s="20">
        <f t="shared" si="16"/>
        <v>183.31521030638316</v>
      </c>
      <c r="AR90" s="25">
        <f>VLOOKUP(AP90,'Hazard Weighting Functions'!$B$5:$G$1205,3,FALSE)</f>
        <v>0.9</v>
      </c>
      <c r="AS90" s="25">
        <f t="shared" si="17"/>
        <v>164.98368927574487</v>
      </c>
      <c r="AT90" s="25">
        <f t="shared" si="18"/>
        <v>649.46471156198129</v>
      </c>
      <c r="AU90" s="20">
        <f t="shared" si="7"/>
        <v>455</v>
      </c>
      <c r="AV90" s="25">
        <f>O90</f>
        <v>290734.51768913242</v>
      </c>
      <c r="AW90" s="25">
        <f>VLOOKUP(AU90,'Hazard Weighting Functions'!$B$5:$G$1205,3,FALSE)</f>
        <v>0.9</v>
      </c>
      <c r="AX90" s="25">
        <f t="shared" si="19"/>
        <v>261661.06592021917</v>
      </c>
      <c r="AY90" s="25">
        <f t="shared" si="20"/>
        <v>1013293.83173329</v>
      </c>
      <c r="AZ90" s="20">
        <f t="shared" si="2"/>
        <v>422</v>
      </c>
      <c r="BA90" s="20">
        <f t="shared" si="2"/>
        <v>79660.22221291528</v>
      </c>
      <c r="BB90" s="25">
        <f>VLOOKUP(AZ90,'Hazard Weighting Functions'!$B$5:$G$1205,3,FALSE)</f>
        <v>0.91967620000000005</v>
      </c>
      <c r="BC90" s="25">
        <f t="shared" si="21"/>
        <v>73261.61045592952</v>
      </c>
      <c r="BD90" s="25">
        <f t="shared" si="22"/>
        <v>172323.60954567278</v>
      </c>
      <c r="BF90" s="20">
        <f t="shared" si="35"/>
        <v>655</v>
      </c>
      <c r="BG90" s="20">
        <f t="shared" si="35"/>
        <v>0</v>
      </c>
      <c r="BH90" s="25">
        <f>VLOOKUP(BF90,'Hazard Weighting Functions'!$B$5:$G$1205,4,FALSE)</f>
        <v>1</v>
      </c>
      <c r="BI90" s="25">
        <f t="shared" si="24"/>
        <v>0</v>
      </c>
      <c r="BJ90" s="25">
        <f t="shared" si="25"/>
        <v>0</v>
      </c>
      <c r="BK90" s="1">
        <f t="shared" si="5"/>
        <v>455</v>
      </c>
      <c r="BL90" s="20">
        <f t="shared" si="5"/>
        <v>290734.51768913242</v>
      </c>
      <c r="BM90" s="25">
        <f>VLOOKUP(BK90,'Hazard Weighting Functions'!$B$5:$G$1205,4,FALSE)</f>
        <v>9</v>
      </c>
      <c r="BN90" s="25">
        <f t="shared" si="26"/>
        <v>2616610.659202192</v>
      </c>
      <c r="BO90" s="25">
        <f t="shared" si="34"/>
        <v>10132938.317332899</v>
      </c>
      <c r="BP90" s="20">
        <f t="shared" si="6"/>
        <v>422</v>
      </c>
      <c r="BQ90" s="20">
        <f t="shared" si="6"/>
        <v>79660.22221291528</v>
      </c>
      <c r="BR90" s="25">
        <f>VLOOKUP(BP90,'Hazard Weighting Functions'!$B$5:$G$1205,4,FALSE)</f>
        <v>9.1967620019999998</v>
      </c>
      <c r="BS90" s="25">
        <f t="shared" si="28"/>
        <v>732616.10471861553</v>
      </c>
      <c r="BT90" s="25">
        <f t="shared" si="29"/>
        <v>1723236.0959322765</v>
      </c>
      <c r="BV90" s="25">
        <f>VLOOKUP(BK90,'Hazard Weighting Functions'!$B$5:$G$1205,5,FALSE)</f>
        <v>4.8000000000000001E-2</v>
      </c>
      <c r="BW90" s="25">
        <f t="shared" si="30"/>
        <v>13955.256849078356</v>
      </c>
      <c r="BX90" s="25">
        <f t="shared" si="31"/>
        <v>61823.729642651531</v>
      </c>
    </row>
    <row r="91" spans="2:76">
      <c r="B91" s="25">
        <v>324</v>
      </c>
      <c r="C91" s="36">
        <v>2.7446850143779482E-3</v>
      </c>
      <c r="E91" s="25">
        <v>324</v>
      </c>
      <c r="F91" s="36"/>
      <c r="H91" s="25">
        <v>324</v>
      </c>
      <c r="I91" s="36"/>
      <c r="K91" s="25">
        <v>1310</v>
      </c>
      <c r="L91" s="36"/>
      <c r="N91" s="25">
        <v>460</v>
      </c>
      <c r="O91" s="36">
        <v>179570.58346637097</v>
      </c>
      <c r="Q91" s="25">
        <v>424</v>
      </c>
      <c r="R91" s="36">
        <v>105409.48752618731</v>
      </c>
      <c r="V91" s="25">
        <f t="shared" si="8"/>
        <v>324</v>
      </c>
      <c r="W91" s="25">
        <f t="shared" si="8"/>
        <v>2.7446850143779482E-3</v>
      </c>
      <c r="Y91" s="25">
        <f t="shared" si="9"/>
        <v>324</v>
      </c>
      <c r="Z91" s="25">
        <f t="shared" si="9"/>
        <v>2.7446850143779482E-3</v>
      </c>
      <c r="AA91" s="25">
        <f>VLOOKUP(Y91,'Hazard Weighting Functions'!$B$5:$G$1205,2,FALSE)</f>
        <v>5.1999999999999995E-4</v>
      </c>
      <c r="AB91" s="25">
        <f t="shared" si="10"/>
        <v>1.4272362074765329E-6</v>
      </c>
      <c r="AC91" s="25">
        <f t="shared" si="11"/>
        <v>2.82696565305034E-6</v>
      </c>
      <c r="AD91" s="25">
        <f t="shared" si="36"/>
        <v>5.6668759237178384E-3</v>
      </c>
      <c r="AE91" s="25">
        <f>VLOOKUP(Y91,'Hazard Weighting Functions'!$B$5:$G$1205,3,FALSE)</f>
        <v>0.01</v>
      </c>
      <c r="AF91" s="25">
        <f t="shared" si="12"/>
        <v>2.7446850143779482E-5</v>
      </c>
      <c r="AG91" s="25">
        <f t="shared" si="13"/>
        <v>5.6668759237178383E-5</v>
      </c>
      <c r="AH91" s="25">
        <f>VLOOKUP(Y91,'Hazard Weighting Functions'!$B$5:$G$1205,5,FALSE)</f>
        <v>0</v>
      </c>
      <c r="AI91" s="25">
        <f t="shared" si="14"/>
        <v>0</v>
      </c>
      <c r="AJ91" s="25">
        <f t="shared" si="15"/>
        <v>0</v>
      </c>
      <c r="AP91" s="20">
        <f>'IEC_EN62471- LED non-GLS'!E141</f>
        <v>460</v>
      </c>
      <c r="AQ91" s="20">
        <f t="shared" si="16"/>
        <v>118.50274418630953</v>
      </c>
      <c r="AR91" s="25">
        <f>VLOOKUP(AP91,'Hazard Weighting Functions'!$B$5:$G$1205,3,FALSE)</f>
        <v>0.8</v>
      </c>
      <c r="AS91" s="25">
        <f t="shared" si="17"/>
        <v>94.802195349047622</v>
      </c>
      <c r="AT91" s="25">
        <f t="shared" si="18"/>
        <v>370.08807237960474</v>
      </c>
      <c r="AU91" s="20">
        <f t="shared" si="7"/>
        <v>460</v>
      </c>
      <c r="AV91" s="25">
        <f>O91</f>
        <v>179570.58346637097</v>
      </c>
      <c r="AW91" s="25">
        <f>VLOOKUP(AU91,'Hazard Weighting Functions'!$B$5:$G$1205,3,FALSE)</f>
        <v>0.8</v>
      </c>
      <c r="AX91" s="25">
        <f t="shared" si="19"/>
        <v>143656.46677309679</v>
      </c>
      <c r="AY91" s="25">
        <f t="shared" si="20"/>
        <v>559130.81323972973</v>
      </c>
      <c r="AZ91" s="20">
        <f t="shared" si="2"/>
        <v>424</v>
      </c>
      <c r="BA91" s="20">
        <f t="shared" si="2"/>
        <v>105409.48752618731</v>
      </c>
      <c r="BB91" s="25">
        <f>VLOOKUP(AZ91,'Hazard Weighting Functions'!$B$5:$G$1205,3,FALSE)</f>
        <v>0.93978256999999998</v>
      </c>
      <c r="BC91" s="25">
        <f t="shared" si="21"/>
        <v>99061.999089743244</v>
      </c>
      <c r="BD91" s="25">
        <f t="shared" si="22"/>
        <v>230102.70505933883</v>
      </c>
      <c r="BF91" s="20">
        <f t="shared" si="35"/>
        <v>660</v>
      </c>
      <c r="BG91" s="20">
        <f t="shared" si="35"/>
        <v>0</v>
      </c>
      <c r="BH91" s="25">
        <f>VLOOKUP(BF91,'Hazard Weighting Functions'!$B$5:$G$1205,4,FALSE)</f>
        <v>1</v>
      </c>
      <c r="BI91" s="25">
        <f t="shared" si="24"/>
        <v>0</v>
      </c>
      <c r="BJ91" s="25">
        <f t="shared" si="25"/>
        <v>0</v>
      </c>
      <c r="BK91" s="1">
        <f t="shared" si="5"/>
        <v>460</v>
      </c>
      <c r="BL91" s="20">
        <f t="shared" si="5"/>
        <v>179570.58346637097</v>
      </c>
      <c r="BM91" s="25">
        <f>VLOOKUP(BK91,'Hazard Weighting Functions'!$B$5:$G$1205,4,FALSE)</f>
        <v>8</v>
      </c>
      <c r="BN91" s="25">
        <f t="shared" si="26"/>
        <v>1436564.6677309677</v>
      </c>
      <c r="BO91" s="25">
        <f t="shared" si="34"/>
        <v>5591308.1323972978</v>
      </c>
      <c r="BP91" s="20">
        <f t="shared" si="6"/>
        <v>424</v>
      </c>
      <c r="BQ91" s="20">
        <f t="shared" si="6"/>
        <v>105409.48752618731</v>
      </c>
      <c r="BR91" s="25">
        <f>VLOOKUP(BP91,'Hazard Weighting Functions'!$B$5:$G$1205,4,FALSE)</f>
        <v>9.3978257030000005</v>
      </c>
      <c r="BS91" s="25">
        <f t="shared" si="28"/>
        <v>990619.99121366104</v>
      </c>
      <c r="BT91" s="25">
        <f t="shared" si="29"/>
        <v>2301027.0502242041</v>
      </c>
      <c r="BV91" s="25">
        <f>VLOOKUP(BK91,'Hazard Weighting Functions'!$B$5:$G$1205,5,FALSE)</f>
        <v>0.06</v>
      </c>
      <c r="BW91" s="25">
        <f t="shared" si="30"/>
        <v>10774.235007982257</v>
      </c>
      <c r="BX91" s="25">
        <f t="shared" si="31"/>
        <v>48048.780180079062</v>
      </c>
    </row>
    <row r="92" spans="2:76">
      <c r="B92" s="25">
        <v>326</v>
      </c>
      <c r="C92" s="36">
        <v>2.9221909093398901E-3</v>
      </c>
      <c r="E92" s="25">
        <v>326</v>
      </c>
      <c r="F92" s="36"/>
      <c r="H92" s="25">
        <v>326</v>
      </c>
      <c r="I92" s="36"/>
      <c r="K92" s="25">
        <v>1315</v>
      </c>
      <c r="L92" s="36"/>
      <c r="N92" s="25">
        <v>465</v>
      </c>
      <c r="O92" s="36">
        <v>114279.79788970728</v>
      </c>
      <c r="Q92" s="25">
        <v>426</v>
      </c>
      <c r="R92" s="36">
        <v>137082.53422261632</v>
      </c>
      <c r="V92" s="25">
        <f t="shared" si="8"/>
        <v>326</v>
      </c>
      <c r="W92" s="25">
        <f t="shared" si="8"/>
        <v>2.9221909093398901E-3</v>
      </c>
      <c r="Y92" s="25">
        <f t="shared" si="9"/>
        <v>326</v>
      </c>
      <c r="Z92" s="25">
        <f t="shared" si="9"/>
        <v>2.9221909093398901E-3</v>
      </c>
      <c r="AA92" s="25">
        <f>VLOOKUP(Y92,'Hazard Weighting Functions'!$B$5:$G$1205,2,FALSE)</f>
        <v>4.7899999999999999E-4</v>
      </c>
      <c r="AB92" s="25">
        <f t="shared" si="10"/>
        <v>1.3997294455738073E-6</v>
      </c>
      <c r="AC92" s="25">
        <f t="shared" si="11"/>
        <v>1.8488362483116312E-6</v>
      </c>
      <c r="AD92" s="25">
        <f t="shared" si="36"/>
        <v>3.9428881882894902E-3</v>
      </c>
      <c r="AE92" s="25">
        <f>VLOOKUP(Y92,'Hazard Weighting Functions'!$B$5:$G$1205,3,FALSE)</f>
        <v>0.01</v>
      </c>
      <c r="AF92" s="25">
        <f t="shared" si="12"/>
        <v>2.9221909093398901E-5</v>
      </c>
      <c r="AG92" s="25">
        <f t="shared" si="13"/>
        <v>3.9428881882894898E-5</v>
      </c>
      <c r="AH92" s="25">
        <f>VLOOKUP(Y92,'Hazard Weighting Functions'!$B$5:$G$1205,5,FALSE)</f>
        <v>0</v>
      </c>
      <c r="AI92" s="25">
        <f t="shared" si="14"/>
        <v>0</v>
      </c>
      <c r="AJ92" s="25">
        <f t="shared" si="15"/>
        <v>0</v>
      </c>
      <c r="AP92" s="20">
        <f>'IEC_EN62471- LED non-GLS'!E142</f>
        <v>465</v>
      </c>
      <c r="AQ92" s="20">
        <f t="shared" si="16"/>
        <v>76.047190861134695</v>
      </c>
      <c r="AR92" s="25">
        <f>VLOOKUP(AP92,'Hazard Weighting Functions'!$B$5:$G$1205,3,FALSE)</f>
        <v>0.7</v>
      </c>
      <c r="AS92" s="25">
        <f t="shared" si="17"/>
        <v>53.233033602794286</v>
      </c>
      <c r="AT92" s="25">
        <f t="shared" si="18"/>
        <v>216.79943856008759</v>
      </c>
      <c r="AU92" s="20">
        <f t="shared" si="7"/>
        <v>465</v>
      </c>
      <c r="AV92" s="25">
        <f>O92</f>
        <v>114279.79788970728</v>
      </c>
      <c r="AW92" s="25">
        <f>VLOOKUP(AU92,'Hazard Weighting Functions'!$B$5:$G$1205,3,FALSE)</f>
        <v>0.7</v>
      </c>
      <c r="AX92" s="25">
        <f t="shared" si="19"/>
        <v>79995.858522795083</v>
      </c>
      <c r="AY92" s="25">
        <f t="shared" si="20"/>
        <v>324778.7230451589</v>
      </c>
      <c r="AZ92" s="20">
        <f t="shared" ref="AZ92:BA138" si="37">Q92</f>
        <v>426</v>
      </c>
      <c r="BA92" s="20">
        <f t="shared" si="37"/>
        <v>137082.53422261632</v>
      </c>
      <c r="BB92" s="25">
        <f>VLOOKUP(AZ92,'Hazard Weighting Functions'!$B$5:$G$1205,3,FALSE)</f>
        <v>0.95592561600000003</v>
      </c>
      <c r="BC92" s="25">
        <f t="shared" si="21"/>
        <v>131040.7059695956</v>
      </c>
      <c r="BD92" s="25">
        <f t="shared" si="22"/>
        <v>298801.11931826756</v>
      </c>
      <c r="BF92" s="20">
        <f t="shared" si="35"/>
        <v>665</v>
      </c>
      <c r="BG92" s="20">
        <f t="shared" si="35"/>
        <v>0</v>
      </c>
      <c r="BH92" s="25">
        <f>VLOOKUP(BF92,'Hazard Weighting Functions'!$B$5:$G$1205,4,FALSE)</f>
        <v>1</v>
      </c>
      <c r="BI92" s="25">
        <f t="shared" si="24"/>
        <v>0</v>
      </c>
      <c r="BJ92" s="25">
        <f t="shared" si="25"/>
        <v>0</v>
      </c>
      <c r="BK92" s="1">
        <f t="shared" ref="BK92:BL155" si="38">N92</f>
        <v>465</v>
      </c>
      <c r="BL92" s="20">
        <f t="shared" si="38"/>
        <v>114279.79788970728</v>
      </c>
      <c r="BM92" s="25">
        <f>VLOOKUP(BK92,'Hazard Weighting Functions'!$B$5:$G$1205,4,FALSE)</f>
        <v>7</v>
      </c>
      <c r="BN92" s="25">
        <f t="shared" si="26"/>
        <v>799958.58522795094</v>
      </c>
      <c r="BO92" s="25">
        <f t="shared" si="34"/>
        <v>3247787.2304515895</v>
      </c>
      <c r="BP92" s="20">
        <f t="shared" ref="BP92:BQ155" si="39">Q92</f>
        <v>426</v>
      </c>
      <c r="BQ92" s="20">
        <f t="shared" si="39"/>
        <v>137082.53422261632</v>
      </c>
      <c r="BR92" s="25">
        <f>VLOOKUP(BP92,'Hazard Weighting Functions'!$B$5:$G$1205,4,FALSE)</f>
        <v>9.5592561549999999</v>
      </c>
      <c r="BS92" s="25">
        <f t="shared" si="28"/>
        <v>1310407.0590105432</v>
      </c>
      <c r="BT92" s="25">
        <f t="shared" si="29"/>
        <v>2988011.1926705893</v>
      </c>
      <c r="BV92" s="25">
        <f>VLOOKUP(BK92,'Hazard Weighting Functions'!$B$5:$G$1205,5,FALSE)</f>
        <v>7.3899999999999993E-2</v>
      </c>
      <c r="BW92" s="25">
        <f t="shared" si="30"/>
        <v>8445.2770640493673</v>
      </c>
      <c r="BX92" s="25">
        <f t="shared" si="31"/>
        <v>39424.983307927963</v>
      </c>
    </row>
    <row r="93" spans="2:76">
      <c r="B93" s="25">
        <v>328</v>
      </c>
      <c r="C93" s="36">
        <v>1.0206972789495998E-3</v>
      </c>
      <c r="E93" s="25">
        <v>328</v>
      </c>
      <c r="F93" s="36"/>
      <c r="H93" s="25">
        <v>328</v>
      </c>
      <c r="I93" s="36"/>
      <c r="K93" s="25">
        <v>1320</v>
      </c>
      <c r="L93" s="36"/>
      <c r="N93" s="25">
        <v>470</v>
      </c>
      <c r="O93" s="36">
        <v>80509.081766562071</v>
      </c>
      <c r="Q93" s="25">
        <v>428</v>
      </c>
      <c r="R93" s="36">
        <v>173326.27357888815</v>
      </c>
      <c r="V93" s="25">
        <f t="shared" si="8"/>
        <v>328</v>
      </c>
      <c r="W93" s="25">
        <f t="shared" si="8"/>
        <v>1.0206972789495998E-3</v>
      </c>
      <c r="Y93" s="25">
        <f t="shared" si="9"/>
        <v>328</v>
      </c>
      <c r="Z93" s="25">
        <f t="shared" si="9"/>
        <v>1.0206972789495998E-3</v>
      </c>
      <c r="AA93" s="25">
        <f>VLOOKUP(Y93,'Hazard Weighting Functions'!$B$5:$G$1205,2,FALSE)</f>
        <v>4.4000000000000002E-4</v>
      </c>
      <c r="AB93" s="25">
        <f t="shared" si="10"/>
        <v>4.4910680273782395E-7</v>
      </c>
      <c r="AC93" s="25">
        <f t="shared" si="11"/>
        <v>2.0930142588036085E-6</v>
      </c>
      <c r="AD93" s="25">
        <f t="shared" si="36"/>
        <v>5.0302276595978546E-3</v>
      </c>
      <c r="AE93" s="25">
        <f>VLOOKUP(Y93,'Hazard Weighting Functions'!$B$5:$G$1205,3,FALSE)</f>
        <v>0.01</v>
      </c>
      <c r="AF93" s="25">
        <f t="shared" si="12"/>
        <v>1.0206972789495999E-5</v>
      </c>
      <c r="AG93" s="25">
        <f t="shared" si="13"/>
        <v>5.030227659597855E-5</v>
      </c>
      <c r="AH93" s="25">
        <f>VLOOKUP(Y93,'Hazard Weighting Functions'!$B$5:$G$1205,5,FALSE)</f>
        <v>0</v>
      </c>
      <c r="AI93" s="25">
        <f t="shared" si="14"/>
        <v>0</v>
      </c>
      <c r="AJ93" s="25">
        <f t="shared" si="15"/>
        <v>0</v>
      </c>
      <c r="AP93" s="20">
        <f>'IEC_EN62471- LED non-GLS'!E143</f>
        <v>470</v>
      </c>
      <c r="AQ93" s="20">
        <f t="shared" si="16"/>
        <v>54.010873905227015</v>
      </c>
      <c r="AR93" s="25">
        <f>VLOOKUP(AP93,'Hazard Weighting Functions'!$B$5:$G$1205,3,FALSE)</f>
        <v>0.62</v>
      </c>
      <c r="AS93" s="25">
        <f t="shared" si="17"/>
        <v>33.486741821240749</v>
      </c>
      <c r="AT93" s="25">
        <f t="shared" si="18"/>
        <v>136.85172495926599</v>
      </c>
      <c r="AU93" s="20">
        <f t="shared" ref="AU93:AU139" si="40">N93</f>
        <v>470</v>
      </c>
      <c r="AV93" s="25">
        <f>O93</f>
        <v>80509.081766562071</v>
      </c>
      <c r="AW93" s="25">
        <f>VLOOKUP(AU93,'Hazard Weighting Functions'!$B$5:$G$1205,3,FALSE)</f>
        <v>0.62</v>
      </c>
      <c r="AX93" s="25">
        <f t="shared" si="19"/>
        <v>49915.630695268483</v>
      </c>
      <c r="AY93" s="25">
        <f t="shared" si="20"/>
        <v>202773.17110079326</v>
      </c>
      <c r="AZ93" s="20">
        <f t="shared" si="37"/>
        <v>428</v>
      </c>
      <c r="BA93" s="20">
        <f t="shared" si="37"/>
        <v>173326.27357888815</v>
      </c>
      <c r="BB93" s="25">
        <f>VLOOKUP(AZ93,'Hazard Weighting Functions'!$B$5:$G$1205,3,FALSE)</f>
        <v>0.96788795999999999</v>
      </c>
      <c r="BC93" s="25">
        <f t="shared" si="21"/>
        <v>167760.41334867195</v>
      </c>
      <c r="BD93" s="25">
        <f t="shared" si="22"/>
        <v>377693.53155954718</v>
      </c>
      <c r="BF93" s="20">
        <f t="shared" si="35"/>
        <v>670</v>
      </c>
      <c r="BG93" s="20">
        <f t="shared" si="35"/>
        <v>0</v>
      </c>
      <c r="BH93" s="25">
        <f>VLOOKUP(BF93,'Hazard Weighting Functions'!$B$5:$G$1205,4,FALSE)</f>
        <v>1</v>
      </c>
      <c r="BI93" s="25">
        <f t="shared" si="24"/>
        <v>0</v>
      </c>
      <c r="BJ93" s="25">
        <f t="shared" si="25"/>
        <v>0</v>
      </c>
      <c r="BK93" s="1">
        <f t="shared" si="38"/>
        <v>470</v>
      </c>
      <c r="BL93" s="20">
        <f t="shared" si="38"/>
        <v>80509.081766562071</v>
      </c>
      <c r="BM93" s="25">
        <f>VLOOKUP(BK93,'Hazard Weighting Functions'!$B$5:$G$1205,4,FALSE)</f>
        <v>6.2</v>
      </c>
      <c r="BN93" s="25">
        <f t="shared" si="26"/>
        <v>499156.30695268483</v>
      </c>
      <c r="BO93" s="25">
        <f t="shared" si="34"/>
        <v>2027731.7110079322</v>
      </c>
      <c r="BP93" s="20">
        <f t="shared" si="39"/>
        <v>428</v>
      </c>
      <c r="BQ93" s="20">
        <f t="shared" si="39"/>
        <v>173326.27357888815</v>
      </c>
      <c r="BR93" s="25">
        <f>VLOOKUP(BP93,'Hazard Weighting Functions'!$B$5:$G$1205,4,FALSE)</f>
        <v>9.6788796010000002</v>
      </c>
      <c r="BS93" s="25">
        <f t="shared" si="28"/>
        <v>1677604.1336600459</v>
      </c>
      <c r="BT93" s="25">
        <f t="shared" si="29"/>
        <v>3776935.3157687983</v>
      </c>
      <c r="BV93" s="25">
        <f>VLOOKUP(BK93,'Hazard Weighting Functions'!$B$5:$G$1205,5,FALSE)</f>
        <v>9.0980000000000005E-2</v>
      </c>
      <c r="BW93" s="25">
        <f t="shared" si="30"/>
        <v>7324.7162591218175</v>
      </c>
      <c r="BX93" s="25">
        <f t="shared" si="31"/>
        <v>34277.261602770443</v>
      </c>
    </row>
    <row r="94" spans="2:76">
      <c r="B94" s="25">
        <v>330</v>
      </c>
      <c r="C94" s="36">
        <v>4.009530380648255E-3</v>
      </c>
      <c r="E94" s="25">
        <v>330</v>
      </c>
      <c r="F94" s="36"/>
      <c r="H94" s="25">
        <v>330</v>
      </c>
      <c r="I94" s="36"/>
      <c r="K94" s="25">
        <v>1325</v>
      </c>
      <c r="L94" s="36"/>
      <c r="N94" s="25">
        <v>475</v>
      </c>
      <c r="O94" s="36">
        <v>56715.704990997852</v>
      </c>
      <c r="Q94" s="25">
        <v>430</v>
      </c>
      <c r="R94" s="36">
        <v>214217.46756211756</v>
      </c>
      <c r="V94" s="25">
        <f t="shared" ref="V94:W157" si="41">B94</f>
        <v>330</v>
      </c>
      <c r="W94" s="25">
        <f t="shared" si="41"/>
        <v>4.009530380648255E-3</v>
      </c>
      <c r="Y94" s="25">
        <f t="shared" ref="Y94:Z157" si="42">V94</f>
        <v>330</v>
      </c>
      <c r="Z94" s="25">
        <f t="shared" si="42"/>
        <v>4.009530380648255E-3</v>
      </c>
      <c r="AA94" s="25">
        <f>VLOOKUP(Y94,'Hazard Weighting Functions'!$B$5:$G$1205,2,FALSE)</f>
        <v>4.0999999999999999E-4</v>
      </c>
      <c r="AB94" s="25">
        <f t="shared" ref="AB94:AB157" si="43">Z94*AA94</f>
        <v>1.6439074560657846E-6</v>
      </c>
      <c r="AC94" s="25">
        <f t="shared" ref="AC94:AC157" si="44">0.5*(Y95-Y94)*(AB94+AB95)</f>
        <v>5.0529403645902166E-6</v>
      </c>
      <c r="AD94" s="25">
        <f t="shared" si="36"/>
        <v>1.291039959350578E-2</v>
      </c>
      <c r="AE94" s="25">
        <f>VLOOKUP(Y94,'Hazard Weighting Functions'!$B$5:$G$1205,3,FALSE)</f>
        <v>0.01</v>
      </c>
      <c r="AF94" s="25">
        <f t="shared" ref="AF94:AF157" si="45">AE94*Z94</f>
        <v>4.009530380648255E-5</v>
      </c>
      <c r="AG94" s="25">
        <f t="shared" ref="AG94:AG157" si="46">0.5*(Y95-Y94)*(AF94+AF95)</f>
        <v>1.2910399593505783E-4</v>
      </c>
      <c r="AH94" s="25">
        <f>VLOOKUP(Y94,'Hazard Weighting Functions'!$B$5:$G$1205,5,FALSE)</f>
        <v>0</v>
      </c>
      <c r="AI94" s="25">
        <f t="shared" ref="AI94:AI157" si="47">AH94*Z94</f>
        <v>0</v>
      </c>
      <c r="AJ94" s="25">
        <f t="shared" ref="AJ94:AJ157" si="48">0.5*(Y95-Y94)*(AI94+AI95)</f>
        <v>0</v>
      </c>
      <c r="AP94" s="20">
        <f>'IEC_EN62471- LED non-GLS'!E144</f>
        <v>475</v>
      </c>
      <c r="AQ94" s="20">
        <f t="shared" ref="AQ94:AQ139" si="49">IF($G$8&lt;100,IF($G$9&lt;100,C144,F144),F144)</f>
        <v>38.643542113573908</v>
      </c>
      <c r="AR94" s="25">
        <f>VLOOKUP(AP94,'Hazard Weighting Functions'!$B$5:$G$1205,3,FALSE)</f>
        <v>0.55000000000000004</v>
      </c>
      <c r="AS94" s="25">
        <f t="shared" ref="AS94:AS139" si="50">AQ94*AR94</f>
        <v>21.253948162465651</v>
      </c>
      <c r="AT94" s="25">
        <f t="shared" ref="AT94:AT138" si="51">0.5*(AP95-AP94)*(AS94+AS95)</f>
        <v>87.252254366650618</v>
      </c>
      <c r="AU94" s="20">
        <f t="shared" si="40"/>
        <v>475</v>
      </c>
      <c r="AV94" s="25">
        <f>O94</f>
        <v>56715.704990997852</v>
      </c>
      <c r="AW94" s="25">
        <f>VLOOKUP(AU94,'Hazard Weighting Functions'!$B$5:$G$1205,3,FALSE)</f>
        <v>0.55000000000000004</v>
      </c>
      <c r="AX94" s="25">
        <f t="shared" ref="AX94:AX139" si="52">AV94*AW94</f>
        <v>31193.637745048822</v>
      </c>
      <c r="AY94" s="25">
        <f t="shared" ref="AY94:AY138" si="53">0.5*(AU95-AU94)*(AX94+AX95)</f>
        <v>127616.57202714079</v>
      </c>
      <c r="AZ94" s="20">
        <f t="shared" si="37"/>
        <v>430</v>
      </c>
      <c r="BA94" s="20">
        <f t="shared" si="37"/>
        <v>214217.46756211756</v>
      </c>
      <c r="BB94" s="25">
        <f>VLOOKUP(AZ94,'Hazard Weighting Functions'!$B$5:$G$1205,3,FALSE)</f>
        <v>0.98</v>
      </c>
      <c r="BC94" s="25">
        <f t="shared" ref="BC94:BC157" si="54">BA94*BB94</f>
        <v>209933.1182108752</v>
      </c>
      <c r="BD94" s="25">
        <f t="shared" ref="BD94:BD157" si="55">0.5*(AZ95-AZ94)*(BC94+BC95)</f>
        <v>464044.5789334157</v>
      </c>
      <c r="BF94" s="20">
        <f t="shared" ref="BF94:BG109" si="56">H184</f>
        <v>675</v>
      </c>
      <c r="BG94" s="20">
        <f t="shared" si="56"/>
        <v>0</v>
      </c>
      <c r="BH94" s="25">
        <f>VLOOKUP(BF94,'Hazard Weighting Functions'!$B$5:$G$1205,4,FALSE)</f>
        <v>1</v>
      </c>
      <c r="BI94" s="25">
        <f t="shared" ref="BI94:BI157" si="57">BG94*BH94</f>
        <v>0</v>
      </c>
      <c r="BJ94" s="25">
        <f t="shared" ref="BJ94:BJ157" si="58">0.5*(BF95-BF94)*(BI94+BI95)</f>
        <v>0</v>
      </c>
      <c r="BK94" s="1">
        <f t="shared" si="38"/>
        <v>475</v>
      </c>
      <c r="BL94" s="20">
        <f t="shared" si="38"/>
        <v>56715.704990997852</v>
      </c>
      <c r="BM94" s="25">
        <f>VLOOKUP(BK94,'Hazard Weighting Functions'!$B$5:$G$1205,4,FALSE)</f>
        <v>5.5</v>
      </c>
      <c r="BN94" s="25">
        <f t="shared" ref="BN94:BN157" si="59">BM94*BL94</f>
        <v>311936.37745048816</v>
      </c>
      <c r="BO94" s="25">
        <f t="shared" si="34"/>
        <v>1276165.7202714076</v>
      </c>
      <c r="BP94" s="20">
        <f t="shared" si="39"/>
        <v>430</v>
      </c>
      <c r="BQ94" s="20">
        <f t="shared" si="39"/>
        <v>214217.46756211756</v>
      </c>
      <c r="BR94" s="25">
        <f>VLOOKUP(BP94,'Hazard Weighting Functions'!$B$5:$G$1205,4,FALSE)</f>
        <v>9.8000000000000007</v>
      </c>
      <c r="BS94" s="25">
        <f t="shared" ref="BS94:BS157" si="60">BR94*BQ94</f>
        <v>2099331.1821087524</v>
      </c>
      <c r="BT94" s="25">
        <f t="shared" ref="BT94:BT157" si="61">0.5*(BP95-BP94)*(BS94+BS95)</f>
        <v>4640445.7880481053</v>
      </c>
      <c r="BV94" s="25">
        <f>VLOOKUP(BK94,'Hazard Weighting Functions'!$B$5:$G$1205,5,FALSE)</f>
        <v>0.11260000000000001</v>
      </c>
      <c r="BW94" s="25">
        <f t="shared" ref="BW94:BW155" si="62">BV94*BL94</f>
        <v>6386.1883819863588</v>
      </c>
      <c r="BX94" s="25">
        <f t="shared" ref="BX94:BX154" si="63">0.5*(BK95-BK94)*(BW94+BW95)</f>
        <v>31298.597721457882</v>
      </c>
    </row>
    <row r="95" spans="2:76">
      <c r="B95" s="25">
        <v>332</v>
      </c>
      <c r="C95" s="36">
        <v>8.9008692128575255E-3</v>
      </c>
      <c r="E95" s="25">
        <v>332</v>
      </c>
      <c r="F95" s="36"/>
      <c r="H95" s="25">
        <v>332</v>
      </c>
      <c r="I95" s="36"/>
      <c r="K95" s="25">
        <v>1330</v>
      </c>
      <c r="L95" s="36"/>
      <c r="N95" s="25">
        <v>480</v>
      </c>
      <c r="O95" s="36">
        <v>44117.757924016645</v>
      </c>
      <c r="Q95" s="25">
        <v>432</v>
      </c>
      <c r="R95" s="36">
        <v>257210.44872511397</v>
      </c>
      <c r="V95" s="25">
        <f t="shared" si="41"/>
        <v>332</v>
      </c>
      <c r="W95" s="25">
        <f t="shared" si="41"/>
        <v>8.9008692128575255E-3</v>
      </c>
      <c r="Y95" s="25">
        <f t="shared" si="42"/>
        <v>332</v>
      </c>
      <c r="Z95" s="25">
        <f t="shared" si="42"/>
        <v>8.9008692128575255E-3</v>
      </c>
      <c r="AA95" s="25">
        <f>VLOOKUP(Y95,'Hazard Weighting Functions'!$B$5:$G$1205,2,FALSE)</f>
        <v>3.8299999999999999E-4</v>
      </c>
      <c r="AB95" s="25">
        <f t="shared" si="43"/>
        <v>3.4090329085244322E-6</v>
      </c>
      <c r="AC95" s="25">
        <f t="shared" si="44"/>
        <v>6.0019751516330153E-6</v>
      </c>
      <c r="AD95" s="25">
        <f t="shared" si="36"/>
        <v>1.6204931869501421E-2</v>
      </c>
      <c r="AE95" s="25">
        <f>VLOOKUP(Y95,'Hazard Weighting Functions'!$B$5:$G$1205,3,FALSE)</f>
        <v>0.01</v>
      </c>
      <c r="AF95" s="25">
        <f t="shared" si="45"/>
        <v>8.9008692128575263E-5</v>
      </c>
      <c r="AG95" s="25">
        <f t="shared" si="46"/>
        <v>1.6204931869501422E-4</v>
      </c>
      <c r="AH95" s="25">
        <f>VLOOKUP(Y95,'Hazard Weighting Functions'!$B$5:$G$1205,5,FALSE)</f>
        <v>0</v>
      </c>
      <c r="AI95" s="25">
        <f t="shared" si="47"/>
        <v>0</v>
      </c>
      <c r="AJ95" s="25">
        <f t="shared" si="48"/>
        <v>0</v>
      </c>
      <c r="AP95" s="20">
        <f>'IEC_EN62471- LED non-GLS'!E145</f>
        <v>480</v>
      </c>
      <c r="AQ95" s="20">
        <f t="shared" si="49"/>
        <v>30.326563520432433</v>
      </c>
      <c r="AR95" s="25">
        <f>VLOOKUP(AP95,'Hazard Weighting Functions'!$B$5:$G$1205,3,FALSE)</f>
        <v>0.45</v>
      </c>
      <c r="AS95" s="25">
        <f t="shared" si="50"/>
        <v>13.646953584194595</v>
      </c>
      <c r="AT95" s="25">
        <f t="shared" si="51"/>
        <v>61.945617860581294</v>
      </c>
      <c r="AU95" s="20">
        <f t="shared" si="40"/>
        <v>480</v>
      </c>
      <c r="AV95" s="25">
        <f>O95</f>
        <v>44117.757924016645</v>
      </c>
      <c r="AW95" s="25">
        <f>VLOOKUP(AU95,'Hazard Weighting Functions'!$B$5:$G$1205,3,FALSE)</f>
        <v>0.45</v>
      </c>
      <c r="AX95" s="25">
        <f t="shared" si="52"/>
        <v>19852.991065807491</v>
      </c>
      <c r="AY95" s="25">
        <f t="shared" si="53"/>
        <v>90094.125231979691</v>
      </c>
      <c r="AZ95" s="20">
        <f t="shared" si="37"/>
        <v>432</v>
      </c>
      <c r="BA95" s="20">
        <f t="shared" si="37"/>
        <v>257210.44872511397</v>
      </c>
      <c r="BB95" s="25">
        <f>VLOOKUP(AZ95,'Hazard Weighting Functions'!$B$5:$G$1205,3,FALSE)</f>
        <v>0.98795154699999999</v>
      </c>
      <c r="BC95" s="25">
        <f t="shared" si="54"/>
        <v>254111.46072254051</v>
      </c>
      <c r="BD95" s="25">
        <f t="shared" si="55"/>
        <v>548998.47161705908</v>
      </c>
      <c r="BF95" s="20">
        <f t="shared" si="56"/>
        <v>680</v>
      </c>
      <c r="BG95" s="20">
        <f t="shared" si="56"/>
        <v>0</v>
      </c>
      <c r="BH95" s="25">
        <f>VLOOKUP(BF95,'Hazard Weighting Functions'!$B$5:$G$1205,4,FALSE)</f>
        <v>1</v>
      </c>
      <c r="BI95" s="25">
        <f t="shared" si="57"/>
        <v>0</v>
      </c>
      <c r="BJ95" s="25">
        <f t="shared" si="58"/>
        <v>0</v>
      </c>
      <c r="BK95" s="1">
        <f t="shared" si="38"/>
        <v>480</v>
      </c>
      <c r="BL95" s="20">
        <f t="shared" si="38"/>
        <v>44117.757924016645</v>
      </c>
      <c r="BM95" s="25">
        <f>VLOOKUP(BK95,'Hazard Weighting Functions'!$B$5:$G$1205,4,FALSE)</f>
        <v>4.5</v>
      </c>
      <c r="BN95" s="25">
        <f t="shared" si="59"/>
        <v>198529.91065807489</v>
      </c>
      <c r="BO95" s="25">
        <f t="shared" si="34"/>
        <v>900941.25231979671</v>
      </c>
      <c r="BP95" s="20">
        <f t="shared" si="39"/>
        <v>432</v>
      </c>
      <c r="BQ95" s="20">
        <f t="shared" si="39"/>
        <v>257210.44872511397</v>
      </c>
      <c r="BR95" s="25">
        <f>VLOOKUP(BP95,'Hazard Weighting Functions'!$B$5:$G$1205,4,FALSE)</f>
        <v>9.8795154650000008</v>
      </c>
      <c r="BS95" s="25">
        <f t="shared" si="60"/>
        <v>2541114.6059393534</v>
      </c>
      <c r="BT95" s="25">
        <f t="shared" si="61"/>
        <v>5489984.7134041339</v>
      </c>
      <c r="BV95" s="25">
        <f>VLOOKUP(BK95,'Hazard Weighting Functions'!$B$5:$G$1205,5,FALSE)</f>
        <v>0.13902</v>
      </c>
      <c r="BW95" s="25">
        <f t="shared" si="62"/>
        <v>6133.2507065967939</v>
      </c>
      <c r="BX95" s="25">
        <f t="shared" si="63"/>
        <v>32458.519099419835</v>
      </c>
    </row>
    <row r="96" spans="2:76">
      <c r="B96" s="25">
        <v>334</v>
      </c>
      <c r="C96" s="36">
        <v>7.3040626566438947E-3</v>
      </c>
      <c r="E96" s="25">
        <v>334</v>
      </c>
      <c r="F96" s="36"/>
      <c r="H96" s="25">
        <v>334</v>
      </c>
      <c r="I96" s="36"/>
      <c r="K96" s="25">
        <v>1335</v>
      </c>
      <c r="L96" s="36"/>
      <c r="N96" s="25">
        <v>485</v>
      </c>
      <c r="O96" s="36">
        <v>40461.647567460961</v>
      </c>
      <c r="Q96" s="25">
        <v>434</v>
      </c>
      <c r="R96" s="36">
        <v>296080.92435700557</v>
      </c>
      <c r="V96" s="25">
        <f t="shared" si="41"/>
        <v>334</v>
      </c>
      <c r="W96" s="25">
        <f t="shared" si="41"/>
        <v>7.3040626566438947E-3</v>
      </c>
      <c r="Y96" s="25">
        <f t="shared" si="42"/>
        <v>334</v>
      </c>
      <c r="Z96" s="25">
        <f t="shared" si="42"/>
        <v>7.3040626566438947E-3</v>
      </c>
      <c r="AA96" s="25">
        <f>VLOOKUP(Y96,'Hazard Weighting Functions'!$B$5:$G$1205,2,FALSE)</f>
        <v>3.5500000000000001E-4</v>
      </c>
      <c r="AB96" s="25">
        <f t="shared" si="43"/>
        <v>2.5929422431085826E-6</v>
      </c>
      <c r="AC96" s="25">
        <f t="shared" si="44"/>
        <v>8.1894561456784841E-6</v>
      </c>
      <c r="AD96" s="25">
        <f t="shared" si="36"/>
        <v>2.4418784071230749E-2</v>
      </c>
      <c r="AE96" s="25">
        <f>VLOOKUP(Y96,'Hazard Weighting Functions'!$B$5:$G$1205,3,FALSE)</f>
        <v>0.01</v>
      </c>
      <c r="AF96" s="25">
        <f t="shared" si="45"/>
        <v>7.3040626566438943E-5</v>
      </c>
      <c r="AG96" s="25">
        <f t="shared" si="46"/>
        <v>2.4418784071230748E-4</v>
      </c>
      <c r="AH96" s="25">
        <f>VLOOKUP(Y96,'Hazard Weighting Functions'!$B$5:$G$1205,5,FALSE)</f>
        <v>0</v>
      </c>
      <c r="AI96" s="25">
        <f t="shared" si="47"/>
        <v>0</v>
      </c>
      <c r="AJ96" s="25">
        <f t="shared" si="48"/>
        <v>0</v>
      </c>
      <c r="AP96" s="20">
        <f>'IEC_EN62471- LED non-GLS'!E146</f>
        <v>485</v>
      </c>
      <c r="AQ96" s="20">
        <f t="shared" si="49"/>
        <v>27.828233900094805</v>
      </c>
      <c r="AR96" s="25">
        <f>VLOOKUP(AP96,'Hazard Weighting Functions'!$B$5:$G$1205,3,FALSE)</f>
        <v>0.4</v>
      </c>
      <c r="AS96" s="25">
        <f t="shared" si="50"/>
        <v>11.131293560037923</v>
      </c>
      <c r="AT96" s="25">
        <f t="shared" si="51"/>
        <v>44.021304985682733</v>
      </c>
      <c r="AU96" s="20">
        <f t="shared" si="40"/>
        <v>485</v>
      </c>
      <c r="AV96" s="25">
        <f>O96</f>
        <v>40461.647567460961</v>
      </c>
      <c r="AW96" s="25">
        <f>VLOOKUP(AU96,'Hazard Weighting Functions'!$B$5:$G$1205,3,FALSE)</f>
        <v>0.4</v>
      </c>
      <c r="AX96" s="25">
        <f t="shared" si="52"/>
        <v>16184.659026984385</v>
      </c>
      <c r="AY96" s="25">
        <f t="shared" si="53"/>
        <v>63950.888610358234</v>
      </c>
      <c r="AZ96" s="20">
        <f t="shared" si="37"/>
        <v>434</v>
      </c>
      <c r="BA96" s="20">
        <f t="shared" si="37"/>
        <v>296080.92435700557</v>
      </c>
      <c r="BB96" s="25">
        <f>VLOOKUP(AZ96,'Hazard Weighting Functions'!$B$5:$G$1205,3,FALSE)</f>
        <v>0.99596761099999997</v>
      </c>
      <c r="BC96" s="25">
        <f t="shared" si="54"/>
        <v>294887.01089451852</v>
      </c>
      <c r="BD96" s="25">
        <f t="shared" si="55"/>
        <v>622355.52974109352</v>
      </c>
      <c r="BF96" s="20">
        <f t="shared" si="56"/>
        <v>685</v>
      </c>
      <c r="BG96" s="20">
        <f t="shared" si="56"/>
        <v>0</v>
      </c>
      <c r="BH96" s="25">
        <f>VLOOKUP(BF96,'Hazard Weighting Functions'!$B$5:$G$1205,4,FALSE)</f>
        <v>1</v>
      </c>
      <c r="BI96" s="25">
        <f t="shared" si="57"/>
        <v>0</v>
      </c>
      <c r="BJ96" s="25">
        <f t="shared" si="58"/>
        <v>0</v>
      </c>
      <c r="BK96" s="1">
        <f t="shared" si="38"/>
        <v>485</v>
      </c>
      <c r="BL96" s="20">
        <f t="shared" si="38"/>
        <v>40461.647567460961</v>
      </c>
      <c r="BM96" s="25">
        <f>VLOOKUP(BK96,'Hazard Weighting Functions'!$B$5:$G$1205,4,FALSE)</f>
        <v>4</v>
      </c>
      <c r="BN96" s="25">
        <f t="shared" si="59"/>
        <v>161846.59026984384</v>
      </c>
      <c r="BO96" s="25">
        <f t="shared" si="34"/>
        <v>639508.88610358245</v>
      </c>
      <c r="BP96" s="20">
        <f t="shared" si="39"/>
        <v>434</v>
      </c>
      <c r="BQ96" s="20">
        <f t="shared" si="39"/>
        <v>296080.92435700557</v>
      </c>
      <c r="BR96" s="25">
        <f>VLOOKUP(BP96,'Hazard Weighting Functions'!$B$5:$G$1205,4,FALSE)</f>
        <v>9.9596761049999998</v>
      </c>
      <c r="BS96" s="25">
        <f t="shared" si="60"/>
        <v>2948870.1074647806</v>
      </c>
      <c r="BT96" s="25">
        <f t="shared" si="61"/>
        <v>6223555.2959305309</v>
      </c>
      <c r="BV96" s="25">
        <f>VLOOKUP(BK96,'Hazard Weighting Functions'!$B$5:$G$1205,5,FALSE)</f>
        <v>0.16930000000000001</v>
      </c>
      <c r="BW96" s="25">
        <f t="shared" si="62"/>
        <v>6850.1569331711407</v>
      </c>
      <c r="BX96" s="25">
        <f t="shared" si="63"/>
        <v>39335.537431761906</v>
      </c>
    </row>
    <row r="97" spans="2:76">
      <c r="B97" s="25">
        <v>336</v>
      </c>
      <c r="C97" s="36">
        <v>1.7114721414586854E-2</v>
      </c>
      <c r="E97" s="25">
        <v>336</v>
      </c>
      <c r="F97" s="36"/>
      <c r="H97" s="25">
        <v>336</v>
      </c>
      <c r="I97" s="36"/>
      <c r="K97" s="25">
        <v>1340</v>
      </c>
      <c r="L97" s="36"/>
      <c r="N97" s="25">
        <v>490</v>
      </c>
      <c r="O97" s="36">
        <v>42707.710987085957</v>
      </c>
      <c r="Q97" s="25">
        <v>436</v>
      </c>
      <c r="R97" s="36">
        <v>327468.518846575</v>
      </c>
      <c r="V97" s="25">
        <f t="shared" si="41"/>
        <v>336</v>
      </c>
      <c r="W97" s="25">
        <f t="shared" si="41"/>
        <v>1.7114721414586854E-2</v>
      </c>
      <c r="Y97" s="25">
        <f t="shared" si="42"/>
        <v>336</v>
      </c>
      <c r="Z97" s="25">
        <f t="shared" si="42"/>
        <v>1.7114721414586854E-2</v>
      </c>
      <c r="AA97" s="25">
        <f>VLOOKUP(Y97,'Hazard Weighting Functions'!$B$5:$G$1205,2,FALSE)</f>
        <v>3.2699999999999998E-4</v>
      </c>
      <c r="AB97" s="25">
        <f t="shared" si="43"/>
        <v>5.5965139025699011E-6</v>
      </c>
      <c r="AC97" s="25">
        <f t="shared" si="44"/>
        <v>1.3483866251030569E-5</v>
      </c>
      <c r="AD97" s="25">
        <f t="shared" si="36"/>
        <v>4.3145587251090703E-2</v>
      </c>
      <c r="AE97" s="25">
        <f>VLOOKUP(Y97,'Hazard Weighting Functions'!$B$5:$G$1205,3,FALSE)</f>
        <v>0.01</v>
      </c>
      <c r="AF97" s="25">
        <f t="shared" si="45"/>
        <v>1.7114721414586854E-4</v>
      </c>
      <c r="AG97" s="25">
        <f t="shared" si="46"/>
        <v>4.3145587251090708E-4</v>
      </c>
      <c r="AH97" s="25">
        <f>VLOOKUP(Y97,'Hazard Weighting Functions'!$B$5:$G$1205,5,FALSE)</f>
        <v>0</v>
      </c>
      <c r="AI97" s="25">
        <f t="shared" si="47"/>
        <v>0</v>
      </c>
      <c r="AJ97" s="25">
        <f t="shared" si="48"/>
        <v>0</v>
      </c>
      <c r="AP97" s="20">
        <f>'IEC_EN62471- LED non-GLS'!E147</f>
        <v>490</v>
      </c>
      <c r="AQ97" s="20">
        <f t="shared" si="49"/>
        <v>29.441947428341681</v>
      </c>
      <c r="AR97" s="25">
        <f>VLOOKUP(AP97,'Hazard Weighting Functions'!$B$5:$G$1205,3,FALSE)</f>
        <v>0.22</v>
      </c>
      <c r="AS97" s="25">
        <f t="shared" si="50"/>
        <v>6.4772284342351698</v>
      </c>
      <c r="AT97" s="25">
        <f t="shared" si="51"/>
        <v>30.172091721069336</v>
      </c>
      <c r="AU97" s="20">
        <f t="shared" si="40"/>
        <v>490</v>
      </c>
      <c r="AV97" s="25">
        <f>O97</f>
        <v>42707.710987085957</v>
      </c>
      <c r="AW97" s="25">
        <f>VLOOKUP(AU97,'Hazard Weighting Functions'!$B$5:$G$1205,3,FALSE)</f>
        <v>0.22</v>
      </c>
      <c r="AX97" s="25">
        <f t="shared" si="52"/>
        <v>9395.6964171589098</v>
      </c>
      <c r="AY97" s="25">
        <f t="shared" si="53"/>
        <v>44000.804782478663</v>
      </c>
      <c r="AZ97" s="20">
        <f t="shared" si="37"/>
        <v>436</v>
      </c>
      <c r="BA97" s="20">
        <f t="shared" si="37"/>
        <v>327468.518846575</v>
      </c>
      <c r="BB97" s="25">
        <f>VLOOKUP(AZ97,'Hazard Weighting Functions'!$B$5:$G$1205,3,FALSE)</f>
        <v>1</v>
      </c>
      <c r="BC97" s="25">
        <f t="shared" si="54"/>
        <v>327468.518846575</v>
      </c>
      <c r="BD97" s="25">
        <f t="shared" si="55"/>
        <v>685291.4551113405</v>
      </c>
      <c r="BF97" s="20">
        <f t="shared" si="56"/>
        <v>690</v>
      </c>
      <c r="BG97" s="20">
        <f t="shared" si="56"/>
        <v>0</v>
      </c>
      <c r="BH97" s="25">
        <f>VLOOKUP(BF97,'Hazard Weighting Functions'!$B$5:$G$1205,4,FALSE)</f>
        <v>1</v>
      </c>
      <c r="BI97" s="25">
        <f t="shared" si="57"/>
        <v>0</v>
      </c>
      <c r="BJ97" s="25">
        <f t="shared" si="58"/>
        <v>0</v>
      </c>
      <c r="BK97" s="1">
        <f t="shared" si="38"/>
        <v>490</v>
      </c>
      <c r="BL97" s="20">
        <f t="shared" si="38"/>
        <v>42707.710987085957</v>
      </c>
      <c r="BM97" s="25">
        <f>VLOOKUP(BK97,'Hazard Weighting Functions'!$B$5:$G$1205,4,FALSE)</f>
        <v>2.2000000000000002</v>
      </c>
      <c r="BN97" s="25">
        <f t="shared" si="59"/>
        <v>93956.964171589119</v>
      </c>
      <c r="BO97" s="25">
        <f t="shared" si="34"/>
        <v>440008.04782478663</v>
      </c>
      <c r="BP97" s="20">
        <f t="shared" si="39"/>
        <v>436</v>
      </c>
      <c r="BQ97" s="20">
        <f t="shared" si="39"/>
        <v>327468.518846575</v>
      </c>
      <c r="BR97" s="25">
        <f>VLOOKUP(BP97,'Hazard Weighting Functions'!$B$5:$G$1205,4,FALSE)</f>
        <v>10</v>
      </c>
      <c r="BS97" s="25">
        <f t="shared" si="60"/>
        <v>3274685.1884657498</v>
      </c>
      <c r="BT97" s="25">
        <f t="shared" si="61"/>
        <v>6852914.5511134043</v>
      </c>
      <c r="BV97" s="25">
        <f>VLOOKUP(BK97,'Hazard Weighting Functions'!$B$5:$G$1205,5,FALSE)</f>
        <v>0.20802000000000001</v>
      </c>
      <c r="BW97" s="25">
        <f t="shared" si="62"/>
        <v>8884.0580395336219</v>
      </c>
      <c r="BX97" s="25">
        <f t="shared" si="63"/>
        <v>55361.959992932469</v>
      </c>
    </row>
    <row r="98" spans="2:76">
      <c r="B98" s="25">
        <v>338</v>
      </c>
      <c r="C98" s="36">
        <v>2.6030865836503853E-2</v>
      </c>
      <c r="E98" s="25">
        <v>338</v>
      </c>
      <c r="F98" s="36"/>
      <c r="H98" s="25">
        <v>338</v>
      </c>
      <c r="I98" s="36"/>
      <c r="K98" s="25">
        <v>1345</v>
      </c>
      <c r="L98" s="36"/>
      <c r="N98" s="25">
        <v>495</v>
      </c>
      <c r="O98" s="36">
        <v>51278.909348953464</v>
      </c>
      <c r="Q98" s="25">
        <v>438</v>
      </c>
      <c r="R98" s="36">
        <v>357822.93626476551</v>
      </c>
      <c r="V98" s="25">
        <f t="shared" si="41"/>
        <v>338</v>
      </c>
      <c r="W98" s="25">
        <f t="shared" si="41"/>
        <v>2.6030865836503853E-2</v>
      </c>
      <c r="Y98" s="25">
        <f t="shared" si="42"/>
        <v>338</v>
      </c>
      <c r="Z98" s="25">
        <f t="shared" si="42"/>
        <v>2.6030865836503853E-2</v>
      </c>
      <c r="AA98" s="25">
        <f>VLOOKUP(Y98,'Hazard Weighting Functions'!$B$5:$G$1205,2,FALSE)</f>
        <v>3.0299999999999999E-4</v>
      </c>
      <c r="AB98" s="25">
        <f t="shared" si="43"/>
        <v>7.8873523484606678E-6</v>
      </c>
      <c r="AC98" s="25">
        <f t="shared" si="44"/>
        <v>1.5678806832119604E-5</v>
      </c>
      <c r="AD98" s="25">
        <f t="shared" si="36"/>
        <v>5.3857488992428634E-2</v>
      </c>
      <c r="AE98" s="25">
        <f>VLOOKUP(Y98,'Hazard Weighting Functions'!$B$5:$G$1205,3,FALSE)</f>
        <v>0.01</v>
      </c>
      <c r="AF98" s="25">
        <f t="shared" si="45"/>
        <v>2.6030865836503854E-4</v>
      </c>
      <c r="AG98" s="25">
        <f t="shared" si="46"/>
        <v>5.3857488992428639E-4</v>
      </c>
      <c r="AH98" s="25">
        <f>VLOOKUP(Y98,'Hazard Weighting Functions'!$B$5:$G$1205,5,FALSE)</f>
        <v>0</v>
      </c>
      <c r="AI98" s="25">
        <f t="shared" si="47"/>
        <v>0</v>
      </c>
      <c r="AJ98" s="25">
        <f t="shared" si="48"/>
        <v>0</v>
      </c>
      <c r="AP98" s="20">
        <f>'IEC_EN62471- LED non-GLS'!E148</f>
        <v>495</v>
      </c>
      <c r="AQ98" s="20">
        <f t="shared" si="49"/>
        <v>34.947551588703519</v>
      </c>
      <c r="AR98" s="25">
        <f>VLOOKUP(AP98,'Hazard Weighting Functions'!$B$5:$G$1205,3,FALSE)</f>
        <v>0.16</v>
      </c>
      <c r="AS98" s="25">
        <f t="shared" si="50"/>
        <v>5.5916082541925629</v>
      </c>
      <c r="AT98" s="25">
        <f t="shared" si="51"/>
        <v>25.120338969614874</v>
      </c>
      <c r="AU98" s="20">
        <f t="shared" si="40"/>
        <v>495</v>
      </c>
      <c r="AV98" s="25">
        <f>O98</f>
        <v>51278.909348953464</v>
      </c>
      <c r="AW98" s="25">
        <f>VLOOKUP(AU98,'Hazard Weighting Functions'!$B$5:$G$1205,3,FALSE)</f>
        <v>0.16</v>
      </c>
      <c r="AX98" s="25">
        <f t="shared" si="52"/>
        <v>8204.6254958325553</v>
      </c>
      <c r="AY98" s="25">
        <f t="shared" si="53"/>
        <v>36952.629923398432</v>
      </c>
      <c r="AZ98" s="20">
        <f t="shared" si="37"/>
        <v>438</v>
      </c>
      <c r="BA98" s="20">
        <f t="shared" si="37"/>
        <v>357822.93626476551</v>
      </c>
      <c r="BB98" s="25">
        <f>VLOOKUP(AZ98,'Hazard Weighting Functions'!$B$5:$G$1205,3,FALSE)</f>
        <v>1</v>
      </c>
      <c r="BC98" s="25">
        <f t="shared" si="54"/>
        <v>357822.93626476551</v>
      </c>
      <c r="BD98" s="25">
        <f t="shared" si="55"/>
        <v>734534.52987657813</v>
      </c>
      <c r="BF98" s="20">
        <f t="shared" si="56"/>
        <v>695</v>
      </c>
      <c r="BG98" s="20">
        <f t="shared" si="56"/>
        <v>0</v>
      </c>
      <c r="BH98" s="25">
        <f>VLOOKUP(BF98,'Hazard Weighting Functions'!$B$5:$G$1205,4,FALSE)</f>
        <v>1</v>
      </c>
      <c r="BI98" s="25">
        <f t="shared" si="57"/>
        <v>0</v>
      </c>
      <c r="BJ98" s="25">
        <f t="shared" si="58"/>
        <v>0</v>
      </c>
      <c r="BK98" s="1">
        <f t="shared" si="38"/>
        <v>495</v>
      </c>
      <c r="BL98" s="20">
        <f t="shared" si="38"/>
        <v>51278.909348953464</v>
      </c>
      <c r="BM98" s="25">
        <f>VLOOKUP(BK98,'Hazard Weighting Functions'!$B$5:$G$1205,4,FALSE)</f>
        <v>1.6</v>
      </c>
      <c r="BN98" s="25">
        <f t="shared" si="59"/>
        <v>82046.254958325546</v>
      </c>
      <c r="BO98" s="25">
        <f t="shared" si="34"/>
        <v>369526.29923398432</v>
      </c>
      <c r="BP98" s="20">
        <f t="shared" si="39"/>
        <v>438</v>
      </c>
      <c r="BQ98" s="20">
        <f t="shared" si="39"/>
        <v>357822.93626476551</v>
      </c>
      <c r="BR98" s="25">
        <f>VLOOKUP(BP98,'Hazard Weighting Functions'!$B$5:$G$1205,4,FALSE)</f>
        <v>10</v>
      </c>
      <c r="BS98" s="25">
        <f t="shared" si="60"/>
        <v>3578229.362647655</v>
      </c>
      <c r="BT98" s="25">
        <f t="shared" si="61"/>
        <v>7345345.2987657823</v>
      </c>
      <c r="BV98" s="25">
        <f>VLOOKUP(BK98,'Hazard Weighting Functions'!$B$5:$G$1205,5,FALSE)</f>
        <v>0.2586</v>
      </c>
      <c r="BW98" s="25">
        <f t="shared" si="62"/>
        <v>13260.725957639366</v>
      </c>
      <c r="BX98" s="25">
        <f t="shared" si="63"/>
        <v>86256.458667827465</v>
      </c>
    </row>
    <row r="99" spans="2:76">
      <c r="B99" s="25">
        <v>340</v>
      </c>
      <c r="C99" s="36">
        <v>2.7826623155924782E-2</v>
      </c>
      <c r="E99" s="25">
        <v>340</v>
      </c>
      <c r="F99" s="36"/>
      <c r="H99" s="25">
        <v>340</v>
      </c>
      <c r="I99" s="36"/>
      <c r="K99" s="25">
        <v>1350</v>
      </c>
      <c r="L99" s="36"/>
      <c r="N99" s="25">
        <v>500</v>
      </c>
      <c r="O99" s="36">
        <v>65764.264735268182</v>
      </c>
      <c r="Q99" s="25">
        <v>440</v>
      </c>
      <c r="R99" s="36">
        <v>376711.59361181268</v>
      </c>
      <c r="V99" s="25">
        <f t="shared" si="41"/>
        <v>340</v>
      </c>
      <c r="W99" s="25">
        <f t="shared" si="41"/>
        <v>2.7826623155924782E-2</v>
      </c>
      <c r="Y99" s="25">
        <f t="shared" si="42"/>
        <v>340</v>
      </c>
      <c r="Z99" s="25">
        <f t="shared" si="42"/>
        <v>2.7826623155924782E-2</v>
      </c>
      <c r="AA99" s="25">
        <f>VLOOKUP(Y99,'Hazard Weighting Functions'!$B$5:$G$1205,2,FALSE)</f>
        <v>2.7999999999999998E-4</v>
      </c>
      <c r="AB99" s="25">
        <f t="shared" si="43"/>
        <v>7.7914544836589374E-6</v>
      </c>
      <c r="AC99" s="25">
        <f t="shared" si="44"/>
        <v>1.5324681893437763E-5</v>
      </c>
      <c r="AD99" s="25">
        <f t="shared" si="36"/>
        <v>5.6470073383220694E-2</v>
      </c>
      <c r="AE99" s="25">
        <f>VLOOKUP(Y99,'Hazard Weighting Functions'!$B$5:$G$1205,3,FALSE)</f>
        <v>0.01</v>
      </c>
      <c r="AF99" s="25">
        <f t="shared" si="45"/>
        <v>2.7826623155924785E-4</v>
      </c>
      <c r="AG99" s="25">
        <f t="shared" si="46"/>
        <v>5.6470073383220703E-4</v>
      </c>
      <c r="AH99" s="25">
        <f>VLOOKUP(Y99,'Hazard Weighting Functions'!$B$5:$G$1205,5,FALSE)</f>
        <v>0</v>
      </c>
      <c r="AI99" s="25">
        <f t="shared" si="47"/>
        <v>0</v>
      </c>
      <c r="AJ99" s="25">
        <f t="shared" si="48"/>
        <v>0</v>
      </c>
      <c r="AP99" s="20">
        <f>'IEC_EN62471- LED non-GLS'!E149</f>
        <v>500</v>
      </c>
      <c r="AQ99" s="20">
        <f t="shared" si="49"/>
        <v>44.56527333653387</v>
      </c>
      <c r="AR99" s="25">
        <f>VLOOKUP(AP99,'Hazard Weighting Functions'!$B$5:$G$1205,3,FALSE)</f>
        <v>0.1</v>
      </c>
      <c r="AS99" s="25">
        <f t="shared" si="50"/>
        <v>4.456527333653387</v>
      </c>
      <c r="AT99" s="25">
        <f t="shared" si="51"/>
        <v>22.387713932719102</v>
      </c>
      <c r="AU99" s="20">
        <f t="shared" si="40"/>
        <v>500</v>
      </c>
      <c r="AV99" s="25">
        <f>O99</f>
        <v>65764.264735268182</v>
      </c>
      <c r="AW99" s="25">
        <f>VLOOKUP(AU99,'Hazard Weighting Functions'!$B$5:$G$1205,3,FALSE)</f>
        <v>0.1</v>
      </c>
      <c r="AX99" s="25">
        <f t="shared" si="52"/>
        <v>6576.4264735268189</v>
      </c>
      <c r="AY99" s="25">
        <f t="shared" si="53"/>
        <v>33075.54854179277</v>
      </c>
      <c r="AZ99" s="20">
        <f t="shared" si="37"/>
        <v>440</v>
      </c>
      <c r="BA99" s="20">
        <f t="shared" si="37"/>
        <v>376711.59361181268</v>
      </c>
      <c r="BB99" s="25">
        <f>VLOOKUP(AZ99,'Hazard Weighting Functions'!$B$5:$G$1205,3,FALSE)</f>
        <v>1</v>
      </c>
      <c r="BC99" s="25">
        <f t="shared" si="54"/>
        <v>376711.59361181268</v>
      </c>
      <c r="BD99" s="25">
        <f t="shared" si="55"/>
        <v>768251.47915016417</v>
      </c>
      <c r="BF99" s="20">
        <f t="shared" si="56"/>
        <v>700</v>
      </c>
      <c r="BG99" s="20">
        <f t="shared" si="56"/>
        <v>0</v>
      </c>
      <c r="BH99" s="25">
        <f>VLOOKUP(BF99,'Hazard Weighting Functions'!$B$5:$G$1205,4,FALSE)</f>
        <v>1</v>
      </c>
      <c r="BI99" s="25">
        <f t="shared" si="57"/>
        <v>0</v>
      </c>
      <c r="BJ99" s="25">
        <f t="shared" si="58"/>
        <v>0</v>
      </c>
      <c r="BK99" s="1">
        <f t="shared" si="38"/>
        <v>500</v>
      </c>
      <c r="BL99" s="20">
        <f t="shared" si="38"/>
        <v>65764.264735268182</v>
      </c>
      <c r="BM99" s="25">
        <f>VLOOKUP(BK99,'Hazard Weighting Functions'!$B$5:$G$1205,4,FALSE)</f>
        <v>1</v>
      </c>
      <c r="BN99" s="25">
        <f t="shared" si="59"/>
        <v>65764.264735268182</v>
      </c>
      <c r="BO99" s="25">
        <f t="shared" si="34"/>
        <v>374973.72966064792</v>
      </c>
      <c r="BP99" s="20">
        <f t="shared" si="39"/>
        <v>440</v>
      </c>
      <c r="BQ99" s="20">
        <f t="shared" si="39"/>
        <v>376711.59361181268</v>
      </c>
      <c r="BR99" s="25">
        <f>VLOOKUP(BP99,'Hazard Weighting Functions'!$B$5:$G$1205,4,FALSE)</f>
        <v>10</v>
      </c>
      <c r="BS99" s="25">
        <f t="shared" si="60"/>
        <v>3767115.9361181268</v>
      </c>
      <c r="BT99" s="25">
        <f t="shared" si="61"/>
        <v>7682514.7899162835</v>
      </c>
      <c r="BV99" s="25">
        <f>VLOOKUP(BK99,'Hazard Weighting Functions'!$B$5:$G$1205,5,FALSE)</f>
        <v>0.32300000000000001</v>
      </c>
      <c r="BW99" s="25">
        <f t="shared" si="62"/>
        <v>21241.857509491623</v>
      </c>
      <c r="BX99" s="25">
        <f t="shared" si="63"/>
        <v>138866.98129782415</v>
      </c>
    </row>
    <row r="100" spans="2:76">
      <c r="B100" s="25">
        <v>342</v>
      </c>
      <c r="C100" s="36">
        <v>2.8643450227295912E-2</v>
      </c>
      <c r="E100" s="25">
        <v>342</v>
      </c>
      <c r="F100" s="36"/>
      <c r="H100" s="25">
        <v>342</v>
      </c>
      <c r="I100" s="36"/>
      <c r="K100" s="25">
        <v>1355</v>
      </c>
      <c r="L100" s="36"/>
      <c r="N100" s="25">
        <v>505</v>
      </c>
      <c r="O100" s="36">
        <v>84225.227128990999</v>
      </c>
      <c r="Q100" s="25">
        <v>442</v>
      </c>
      <c r="R100" s="36">
        <v>396339.46209553647</v>
      </c>
      <c r="V100" s="25">
        <f t="shared" si="41"/>
        <v>342</v>
      </c>
      <c r="W100" s="25">
        <f t="shared" si="41"/>
        <v>2.8643450227295912E-2</v>
      </c>
      <c r="Y100" s="25">
        <f t="shared" si="42"/>
        <v>342</v>
      </c>
      <c r="Z100" s="25">
        <f t="shared" si="42"/>
        <v>2.8643450227295912E-2</v>
      </c>
      <c r="AA100" s="25">
        <f>VLOOKUP(Y100,'Hazard Weighting Functions'!$B$5:$G$1205,2,FALSE)</f>
        <v>2.63E-4</v>
      </c>
      <c r="AB100" s="25">
        <f t="shared" si="43"/>
        <v>7.5332274097788247E-6</v>
      </c>
      <c r="AC100" s="25">
        <f t="shared" si="44"/>
        <v>1.5872469769419931E-5</v>
      </c>
      <c r="AD100" s="25">
        <f t="shared" si="36"/>
        <v>6.2269427483913273E-2</v>
      </c>
      <c r="AE100" s="25">
        <f>VLOOKUP(Y100,'Hazard Weighting Functions'!$B$5:$G$1205,3,FALSE)</f>
        <v>0.01</v>
      </c>
      <c r="AF100" s="25">
        <f t="shared" si="45"/>
        <v>2.8643450227295913E-4</v>
      </c>
      <c r="AG100" s="25">
        <f t="shared" si="46"/>
        <v>6.2269427483913281E-4</v>
      </c>
      <c r="AH100" s="25">
        <f>VLOOKUP(Y100,'Hazard Weighting Functions'!$B$5:$G$1205,5,FALSE)</f>
        <v>0</v>
      </c>
      <c r="AI100" s="25">
        <f t="shared" si="47"/>
        <v>0</v>
      </c>
      <c r="AJ100" s="25">
        <f t="shared" si="48"/>
        <v>0</v>
      </c>
      <c r="AP100" s="20">
        <f>'IEC_EN62471- LED non-GLS'!E150</f>
        <v>505</v>
      </c>
      <c r="AQ100" s="20">
        <f t="shared" si="49"/>
        <v>56.943775182712066</v>
      </c>
      <c r="AR100" s="25">
        <f>VLOOKUP(AP100,'Hazard Weighting Functions'!$B$5:$G$1205,3,FALSE)</f>
        <v>7.9000000000000001E-2</v>
      </c>
      <c r="AS100" s="25">
        <f t="shared" si="50"/>
        <v>4.4985582394342529</v>
      </c>
      <c r="AT100" s="25">
        <f t="shared" si="51"/>
        <v>22.25470143344775</v>
      </c>
      <c r="AU100" s="20">
        <f t="shared" si="40"/>
        <v>505</v>
      </c>
      <c r="AV100" s="25">
        <f>O100</f>
        <v>84225.227128990999</v>
      </c>
      <c r="AW100" s="25">
        <f>VLOOKUP(AU100,'Hazard Weighting Functions'!$B$5:$G$1205,3,FALSE)</f>
        <v>7.9000000000000001E-2</v>
      </c>
      <c r="AX100" s="25">
        <f t="shared" si="52"/>
        <v>6653.7929431902894</v>
      </c>
      <c r="AY100" s="25">
        <f t="shared" si="53"/>
        <v>32664.829480759843</v>
      </c>
      <c r="AZ100" s="20">
        <f t="shared" si="37"/>
        <v>442</v>
      </c>
      <c r="BA100" s="20">
        <f t="shared" si="37"/>
        <v>396339.46209553647</v>
      </c>
      <c r="BB100" s="25">
        <f>VLOOKUP(AZ100,'Hazard Weighting Functions'!$B$5:$G$1205,3,FALSE)</f>
        <v>0.98789023799999998</v>
      </c>
      <c r="BC100" s="25">
        <f t="shared" si="54"/>
        <v>391539.88553835149</v>
      </c>
      <c r="BD100" s="25">
        <f t="shared" si="55"/>
        <v>797292.16950121988</v>
      </c>
      <c r="BF100" s="20">
        <f t="shared" si="56"/>
        <v>705</v>
      </c>
      <c r="BG100" s="20">
        <f t="shared" si="56"/>
        <v>0</v>
      </c>
      <c r="BH100" s="25">
        <f>VLOOKUP(BF100,'Hazard Weighting Functions'!$B$5:$G$1205,4,FALSE)</f>
        <v>0.97699999999999998</v>
      </c>
      <c r="BI100" s="25">
        <f t="shared" si="57"/>
        <v>0</v>
      </c>
      <c r="BJ100" s="25">
        <f t="shared" si="58"/>
        <v>0</v>
      </c>
      <c r="BK100" s="1">
        <f t="shared" si="38"/>
        <v>505</v>
      </c>
      <c r="BL100" s="20">
        <f t="shared" si="38"/>
        <v>84225.227128990999</v>
      </c>
      <c r="BM100" s="25">
        <f>VLOOKUP(BK100,'Hazard Weighting Functions'!$B$5:$G$1205,4,FALSE)</f>
        <v>1</v>
      </c>
      <c r="BN100" s="25">
        <f t="shared" si="59"/>
        <v>84225.227128990999</v>
      </c>
      <c r="BO100" s="25">
        <f t="shared" si="34"/>
        <v>465013.02215238422</v>
      </c>
      <c r="BP100" s="20">
        <f t="shared" si="39"/>
        <v>442</v>
      </c>
      <c r="BQ100" s="20">
        <f t="shared" si="39"/>
        <v>396339.46209553647</v>
      </c>
      <c r="BR100" s="25">
        <f>VLOOKUP(BP100,'Hazard Weighting Functions'!$B$5:$G$1205,4,FALSE)</f>
        <v>9.8789023759999992</v>
      </c>
      <c r="BS100" s="25">
        <f t="shared" si="60"/>
        <v>3915398.8537981566</v>
      </c>
      <c r="BT100" s="25">
        <f t="shared" si="61"/>
        <v>7972921.6955056451</v>
      </c>
      <c r="BV100" s="25">
        <f>VLOOKUP(BK100,'Hazard Weighting Functions'!$B$5:$G$1205,5,FALSE)</f>
        <v>0.4073</v>
      </c>
      <c r="BW100" s="25">
        <f t="shared" si="62"/>
        <v>34304.935009638037</v>
      </c>
      <c r="BX100" s="25">
        <f t="shared" si="63"/>
        <v>213750.66455203813</v>
      </c>
    </row>
    <row r="101" spans="2:76">
      <c r="B101" s="25">
        <v>344</v>
      </c>
      <c r="C101" s="36">
        <v>3.3625977256617361E-2</v>
      </c>
      <c r="E101" s="25">
        <v>344</v>
      </c>
      <c r="F101" s="36"/>
      <c r="H101" s="25">
        <v>344</v>
      </c>
      <c r="I101" s="36"/>
      <c r="K101" s="25">
        <v>1360</v>
      </c>
      <c r="L101" s="36"/>
      <c r="N101" s="25">
        <v>510</v>
      </c>
      <c r="O101" s="36">
        <v>101779.98173196267</v>
      </c>
      <c r="Q101" s="25">
        <v>444</v>
      </c>
      <c r="R101" s="36">
        <v>415760.84446460265</v>
      </c>
      <c r="V101" s="25">
        <f t="shared" si="41"/>
        <v>344</v>
      </c>
      <c r="W101" s="25">
        <f t="shared" si="41"/>
        <v>3.3625977256617361E-2</v>
      </c>
      <c r="Y101" s="25">
        <f t="shared" si="42"/>
        <v>344</v>
      </c>
      <c r="Z101" s="25">
        <f t="shared" si="42"/>
        <v>3.3625977256617361E-2</v>
      </c>
      <c r="AA101" s="25">
        <f>VLOOKUP(Y101,'Hazard Weighting Functions'!$B$5:$G$1205,2,FALSE)</f>
        <v>2.4800000000000001E-4</v>
      </c>
      <c r="AB101" s="25">
        <f t="shared" si="43"/>
        <v>8.3392423596411054E-6</v>
      </c>
      <c r="AC101" s="25">
        <f t="shared" si="44"/>
        <v>1.7797895846612003E-5</v>
      </c>
      <c r="AD101" s="25">
        <f t="shared" si="36"/>
        <v>7.4572529148266259E-2</v>
      </c>
      <c r="AE101" s="25">
        <f>VLOOKUP(Y101,'Hazard Weighting Functions'!$B$5:$G$1205,3,FALSE)</f>
        <v>0.01</v>
      </c>
      <c r="AF101" s="25">
        <f t="shared" si="45"/>
        <v>3.3625977256617363E-4</v>
      </c>
      <c r="AG101" s="25">
        <f t="shared" si="46"/>
        <v>7.4572529148266269E-4</v>
      </c>
      <c r="AH101" s="25">
        <f>VLOOKUP(Y101,'Hazard Weighting Functions'!$B$5:$G$1205,5,FALSE)</f>
        <v>0</v>
      </c>
      <c r="AI101" s="25">
        <f t="shared" si="47"/>
        <v>0</v>
      </c>
      <c r="AJ101" s="25">
        <f t="shared" si="48"/>
        <v>0</v>
      </c>
      <c r="AP101" s="20">
        <f>'IEC_EN62471- LED non-GLS'!E151</f>
        <v>510</v>
      </c>
      <c r="AQ101" s="20">
        <f t="shared" si="49"/>
        <v>69.894005300711839</v>
      </c>
      <c r="AR101" s="25">
        <f>VLOOKUP(AP101,'Hazard Weighting Functions'!$B$5:$G$1205,3,FALSE)</f>
        <v>6.3E-2</v>
      </c>
      <c r="AS101" s="25">
        <f t="shared" si="50"/>
        <v>4.4033223339448462</v>
      </c>
      <c r="AT101" s="25">
        <f t="shared" si="51"/>
        <v>21.294308994228913</v>
      </c>
      <c r="AU101" s="20">
        <f t="shared" si="40"/>
        <v>510</v>
      </c>
      <c r="AV101" s="25">
        <f>O101</f>
        <v>101779.98173196267</v>
      </c>
      <c r="AW101" s="25">
        <f>VLOOKUP(AU101,'Hazard Weighting Functions'!$B$5:$G$1205,3,FALSE)</f>
        <v>6.3E-2</v>
      </c>
      <c r="AX101" s="25">
        <f t="shared" si="52"/>
        <v>6412.1388491136486</v>
      </c>
      <c r="AY101" s="25">
        <f t="shared" si="53"/>
        <v>30926.934222160155</v>
      </c>
      <c r="AZ101" s="20">
        <f t="shared" si="37"/>
        <v>444</v>
      </c>
      <c r="BA101" s="20">
        <f t="shared" si="37"/>
        <v>415760.84446460265</v>
      </c>
      <c r="BB101" s="25">
        <f>VLOOKUP(AZ101,'Hazard Weighting Functions'!$B$5:$G$1205,3,FALSE)</f>
        <v>0.97592712100000001</v>
      </c>
      <c r="BC101" s="25">
        <f t="shared" si="54"/>
        <v>405752.28396286845</v>
      </c>
      <c r="BD101" s="25">
        <f t="shared" si="55"/>
        <v>824019.39063552243</v>
      </c>
      <c r="BF101" s="20">
        <f t="shared" si="56"/>
        <v>710</v>
      </c>
      <c r="BG101" s="20">
        <f t="shared" si="56"/>
        <v>0</v>
      </c>
      <c r="BH101" s="25">
        <f>VLOOKUP(BF101,'Hazard Weighting Functions'!$B$5:$G$1205,4,FALSE)</f>
        <v>0.95499999999999996</v>
      </c>
      <c r="BI101" s="25">
        <f t="shared" si="57"/>
        <v>0</v>
      </c>
      <c r="BJ101" s="25">
        <f t="shared" si="58"/>
        <v>0</v>
      </c>
      <c r="BK101" s="1">
        <f t="shared" si="38"/>
        <v>510</v>
      </c>
      <c r="BL101" s="20">
        <f t="shared" si="38"/>
        <v>101779.98173196267</v>
      </c>
      <c r="BM101" s="25">
        <f>VLOOKUP(BK101,'Hazard Weighting Functions'!$B$5:$G$1205,4,FALSE)</f>
        <v>1</v>
      </c>
      <c r="BN101" s="25">
        <f t="shared" si="59"/>
        <v>101779.98173196267</v>
      </c>
      <c r="BO101" s="25">
        <f t="shared" si="34"/>
        <v>552381.69631742733</v>
      </c>
      <c r="BP101" s="20">
        <f t="shared" si="39"/>
        <v>444</v>
      </c>
      <c r="BQ101" s="20">
        <f t="shared" si="39"/>
        <v>415760.84446460265</v>
      </c>
      <c r="BR101" s="25">
        <f>VLOOKUP(BP101,'Hazard Weighting Functions'!$B$5:$G$1205,4,FALSE)</f>
        <v>9.7592712150000001</v>
      </c>
      <c r="BS101" s="25">
        <f t="shared" si="60"/>
        <v>4057522.8417074885</v>
      </c>
      <c r="BT101" s="25">
        <f t="shared" si="61"/>
        <v>8240193.9097357914</v>
      </c>
      <c r="BV101" s="25">
        <f>VLOOKUP(BK101,'Hazard Weighting Functions'!$B$5:$G$1205,5,FALSE)</f>
        <v>0.503</v>
      </c>
      <c r="BW101" s="25">
        <f t="shared" si="62"/>
        <v>51195.330811177228</v>
      </c>
      <c r="BX101" s="25">
        <f t="shared" si="63"/>
        <v>309190.4125047531</v>
      </c>
    </row>
    <row r="102" spans="2:76">
      <c r="B102" s="25">
        <v>346</v>
      </c>
      <c r="C102" s="36">
        <v>4.0946551891648905E-2</v>
      </c>
      <c r="E102" s="25">
        <v>346</v>
      </c>
      <c r="F102" s="36"/>
      <c r="H102" s="25">
        <v>346</v>
      </c>
      <c r="I102" s="36"/>
      <c r="K102" s="25">
        <v>1365</v>
      </c>
      <c r="L102" s="36"/>
      <c r="N102" s="25">
        <v>515</v>
      </c>
      <c r="O102" s="36">
        <v>119172.69679500826</v>
      </c>
      <c r="Q102" s="25">
        <v>446</v>
      </c>
      <c r="R102" s="36">
        <v>433921.08536716364</v>
      </c>
      <c r="V102" s="25">
        <f t="shared" si="41"/>
        <v>346</v>
      </c>
      <c r="W102" s="25">
        <f t="shared" si="41"/>
        <v>4.0946551891648905E-2</v>
      </c>
      <c r="Y102" s="25">
        <f t="shared" si="42"/>
        <v>346</v>
      </c>
      <c r="Z102" s="25">
        <f t="shared" si="42"/>
        <v>4.0946551891648905E-2</v>
      </c>
      <c r="AA102" s="25">
        <f>VLOOKUP(Y102,'Hazard Weighting Functions'!$B$5:$G$1205,2,FALSE)</f>
        <v>2.31E-4</v>
      </c>
      <c r="AB102" s="25">
        <f t="shared" si="43"/>
        <v>9.4586534869708978E-6</v>
      </c>
      <c r="AC102" s="25">
        <f t="shared" si="44"/>
        <v>1.8573571771320709E-5</v>
      </c>
      <c r="AD102" s="25">
        <f t="shared" si="36"/>
        <v>8.3341520656066634E-2</v>
      </c>
      <c r="AE102" s="25">
        <f>VLOOKUP(Y102,'Hazard Weighting Functions'!$B$5:$G$1205,3,FALSE)</f>
        <v>0.01</v>
      </c>
      <c r="AF102" s="25">
        <f t="shared" si="45"/>
        <v>4.0946551891648907E-4</v>
      </c>
      <c r="AG102" s="25">
        <f t="shared" si="46"/>
        <v>8.3341520656066636E-4</v>
      </c>
      <c r="AH102" s="25">
        <f>VLOOKUP(Y102,'Hazard Weighting Functions'!$B$5:$G$1205,5,FALSE)</f>
        <v>0</v>
      </c>
      <c r="AI102" s="25">
        <f t="shared" si="47"/>
        <v>0</v>
      </c>
      <c r="AJ102" s="25">
        <f t="shared" si="48"/>
        <v>0</v>
      </c>
      <c r="AP102" s="20">
        <f>'IEC_EN62471- LED non-GLS'!E152</f>
        <v>515</v>
      </c>
      <c r="AQ102" s="20">
        <f t="shared" si="49"/>
        <v>82.288025274934384</v>
      </c>
      <c r="AR102" s="25">
        <f>VLOOKUP(AP102,'Hazard Weighting Functions'!$B$5:$G$1205,3,FALSE)</f>
        <v>0.05</v>
      </c>
      <c r="AS102" s="25">
        <f t="shared" si="50"/>
        <v>4.1144012637467196</v>
      </c>
      <c r="AT102" s="25">
        <f t="shared" si="51"/>
        <v>19.595806172887059</v>
      </c>
      <c r="AU102" s="20">
        <f t="shared" si="40"/>
        <v>515</v>
      </c>
      <c r="AV102" s="25">
        <f>O102</f>
        <v>119172.69679500826</v>
      </c>
      <c r="AW102" s="25">
        <f>VLOOKUP(AU102,'Hazard Weighting Functions'!$B$5:$G$1205,3,FALSE)</f>
        <v>0.05</v>
      </c>
      <c r="AX102" s="25">
        <f t="shared" si="52"/>
        <v>5958.6348397504134</v>
      </c>
      <c r="AY102" s="25">
        <f t="shared" si="53"/>
        <v>28350.04060162355</v>
      </c>
      <c r="AZ102" s="20">
        <f t="shared" si="37"/>
        <v>446</v>
      </c>
      <c r="BA102" s="20">
        <f t="shared" si="37"/>
        <v>433921.08536716364</v>
      </c>
      <c r="BB102" s="25">
        <f>VLOOKUP(AZ102,'Hazard Weighting Functions'!$B$5:$G$1205,3,FALSE)</f>
        <v>0.96392436500000001</v>
      </c>
      <c r="BC102" s="25">
        <f t="shared" si="54"/>
        <v>418267.10667265399</v>
      </c>
      <c r="BD102" s="25">
        <f t="shared" si="55"/>
        <v>837607.98359843972</v>
      </c>
      <c r="BF102" s="20">
        <f t="shared" si="56"/>
        <v>715</v>
      </c>
      <c r="BG102" s="20">
        <f t="shared" si="56"/>
        <v>0</v>
      </c>
      <c r="BH102" s="25">
        <f>VLOOKUP(BF102,'Hazard Weighting Functions'!$B$5:$G$1205,4,FALSE)</f>
        <v>0.93300000000000005</v>
      </c>
      <c r="BI102" s="25">
        <f t="shared" si="57"/>
        <v>0</v>
      </c>
      <c r="BJ102" s="25">
        <f t="shared" si="58"/>
        <v>0</v>
      </c>
      <c r="BK102" s="1">
        <f t="shared" si="38"/>
        <v>515</v>
      </c>
      <c r="BL102" s="20">
        <f t="shared" si="38"/>
        <v>119172.69679500826</v>
      </c>
      <c r="BM102" s="25">
        <f>VLOOKUP(BK102,'Hazard Weighting Functions'!$B$5:$G$1205,4,FALSE)</f>
        <v>1</v>
      </c>
      <c r="BN102" s="25">
        <f t="shared" si="59"/>
        <v>119172.69679500826</v>
      </c>
      <c r="BO102" s="25">
        <f t="shared" si="34"/>
        <v>634268.07954370847</v>
      </c>
      <c r="BP102" s="20">
        <f t="shared" si="39"/>
        <v>446</v>
      </c>
      <c r="BQ102" s="20">
        <f t="shared" si="39"/>
        <v>433921.08536716364</v>
      </c>
      <c r="BR102" s="25">
        <f>VLOOKUP(BP102,'Hazard Weighting Functions'!$B$5:$G$1205,4,FALSE)</f>
        <v>9.6392436529999994</v>
      </c>
      <c r="BS102" s="25">
        <f t="shared" si="60"/>
        <v>4182671.0680283029</v>
      </c>
      <c r="BT102" s="25">
        <f t="shared" si="61"/>
        <v>8376079.8390483055</v>
      </c>
      <c r="BV102" s="25">
        <f>VLOOKUP(BK102,'Hazard Weighting Functions'!$B$5:$G$1205,5,FALSE)</f>
        <v>0.60819999999999996</v>
      </c>
      <c r="BW102" s="25">
        <f t="shared" si="62"/>
        <v>72480.834190724025</v>
      </c>
      <c r="BX102" s="25">
        <f t="shared" si="63"/>
        <v>420000.88514170347</v>
      </c>
    </row>
    <row r="103" spans="2:76">
      <c r="B103" s="25">
        <v>348</v>
      </c>
      <c r="C103" s="36">
        <v>4.2394968764417729E-2</v>
      </c>
      <c r="E103" s="25">
        <v>348</v>
      </c>
      <c r="F103" s="36"/>
      <c r="H103" s="25">
        <v>348</v>
      </c>
      <c r="I103" s="36"/>
      <c r="K103" s="25">
        <v>1370</v>
      </c>
      <c r="L103" s="36"/>
      <c r="N103" s="25">
        <v>520</v>
      </c>
      <c r="O103" s="36">
        <v>134534.53502247515</v>
      </c>
      <c r="Q103" s="25">
        <v>448</v>
      </c>
      <c r="R103" s="36">
        <v>440536.39479684568</v>
      </c>
      <c r="V103" s="25">
        <f t="shared" si="41"/>
        <v>348</v>
      </c>
      <c r="W103" s="25">
        <f t="shared" si="41"/>
        <v>4.2394968764417729E-2</v>
      </c>
      <c r="Y103" s="25">
        <f t="shared" si="42"/>
        <v>348</v>
      </c>
      <c r="Z103" s="25">
        <f t="shared" si="42"/>
        <v>4.2394968764417729E-2</v>
      </c>
      <c r="AA103" s="25">
        <f>VLOOKUP(Y103,'Hazard Weighting Functions'!$B$5:$G$1205,2,FALSE)</f>
        <v>2.1499999999999999E-4</v>
      </c>
      <c r="AB103" s="25">
        <f t="shared" si="43"/>
        <v>9.1149182843498115E-6</v>
      </c>
      <c r="AC103" s="25">
        <f t="shared" si="44"/>
        <v>1.9815171251310095E-5</v>
      </c>
      <c r="AD103" s="25">
        <f t="shared" si="36"/>
        <v>9.5896233599219144E-2</v>
      </c>
      <c r="AE103" s="25">
        <f>VLOOKUP(Y103,'Hazard Weighting Functions'!$B$5:$G$1205,3,FALSE)</f>
        <v>0.01</v>
      </c>
      <c r="AF103" s="25">
        <f t="shared" si="45"/>
        <v>4.2394968764417729E-4</v>
      </c>
      <c r="AG103" s="25">
        <f t="shared" si="46"/>
        <v>9.5896233599219159E-4</v>
      </c>
      <c r="AH103" s="25">
        <f>VLOOKUP(Y103,'Hazard Weighting Functions'!$B$5:$G$1205,5,FALSE)</f>
        <v>0</v>
      </c>
      <c r="AI103" s="25">
        <f t="shared" si="47"/>
        <v>0</v>
      </c>
      <c r="AJ103" s="25">
        <f t="shared" si="48"/>
        <v>0</v>
      </c>
      <c r="AP103" s="20">
        <f>'IEC_EN62471- LED non-GLS'!E153</f>
        <v>520</v>
      </c>
      <c r="AQ103" s="20">
        <f t="shared" si="49"/>
        <v>93.098030135202606</v>
      </c>
      <c r="AR103" s="25">
        <f>VLOOKUP(AP103,'Hazard Weighting Functions'!$B$5:$G$1205,3,FALSE)</f>
        <v>0.04</v>
      </c>
      <c r="AS103" s="25">
        <f t="shared" si="50"/>
        <v>3.7239212054081041</v>
      </c>
      <c r="AT103" s="25">
        <f t="shared" si="51"/>
        <v>17.460750722256691</v>
      </c>
      <c r="AU103" s="20">
        <f t="shared" si="40"/>
        <v>520</v>
      </c>
      <c r="AV103" s="25">
        <f>O103</f>
        <v>134534.53502247515</v>
      </c>
      <c r="AW103" s="25">
        <f>VLOOKUP(AU103,'Hazard Weighting Functions'!$B$5:$G$1205,3,FALSE)</f>
        <v>0.04</v>
      </c>
      <c r="AX103" s="25">
        <f t="shared" si="52"/>
        <v>5381.3814008990057</v>
      </c>
      <c r="AY103" s="25">
        <f t="shared" si="53"/>
        <v>25189.917128567722</v>
      </c>
      <c r="AZ103" s="20">
        <f t="shared" si="37"/>
        <v>448</v>
      </c>
      <c r="BA103" s="20">
        <f t="shared" si="37"/>
        <v>440536.39479684568</v>
      </c>
      <c r="BB103" s="25">
        <f>VLOOKUP(AZ103,'Hazard Weighting Functions'!$B$5:$G$1205,3,FALSE)</f>
        <v>0.95188702199999997</v>
      </c>
      <c r="BC103" s="25">
        <f t="shared" si="54"/>
        <v>419340.87692578573</v>
      </c>
      <c r="BD103" s="25">
        <f t="shared" si="55"/>
        <v>821556.4354562494</v>
      </c>
      <c r="BF103" s="20">
        <f t="shared" si="56"/>
        <v>720</v>
      </c>
      <c r="BG103" s="20">
        <f t="shared" si="56"/>
        <v>0</v>
      </c>
      <c r="BH103" s="25">
        <f>VLOOKUP(BF103,'Hazard Weighting Functions'!$B$5:$G$1205,4,FALSE)</f>
        <v>0.91200000000000003</v>
      </c>
      <c r="BI103" s="25">
        <f t="shared" si="57"/>
        <v>0</v>
      </c>
      <c r="BJ103" s="25">
        <f t="shared" si="58"/>
        <v>0</v>
      </c>
      <c r="BK103" s="1">
        <f t="shared" si="38"/>
        <v>520</v>
      </c>
      <c r="BL103" s="20">
        <f t="shared" si="38"/>
        <v>134534.53502247515</v>
      </c>
      <c r="BM103" s="25">
        <f>VLOOKUP(BK103,'Hazard Weighting Functions'!$B$5:$G$1205,4,FALSE)</f>
        <v>1</v>
      </c>
      <c r="BN103" s="25">
        <f t="shared" si="59"/>
        <v>134534.53502247515</v>
      </c>
      <c r="BO103" s="25">
        <f t="shared" si="34"/>
        <v>703100.8258786943</v>
      </c>
      <c r="BP103" s="20">
        <f t="shared" si="39"/>
        <v>448</v>
      </c>
      <c r="BQ103" s="20">
        <f t="shared" si="39"/>
        <v>440536.39479684568</v>
      </c>
      <c r="BR103" s="25">
        <f>VLOOKUP(BP103,'Hazard Weighting Functions'!$B$5:$G$1205,4,FALSE)</f>
        <v>9.5188702240000005</v>
      </c>
      <c r="BS103" s="25">
        <f t="shared" si="60"/>
        <v>4193408.7710200031</v>
      </c>
      <c r="BT103" s="25">
        <f t="shared" si="61"/>
        <v>8215564.356324641</v>
      </c>
      <c r="BV103" s="25">
        <f>VLOOKUP(BK103,'Hazard Weighting Functions'!$B$5:$G$1205,5,FALSE)</f>
        <v>0.71</v>
      </c>
      <c r="BW103" s="25">
        <f t="shared" si="62"/>
        <v>95519.519865957351</v>
      </c>
      <c r="BX103" s="25">
        <f t="shared" si="63"/>
        <v>529716.39180230547</v>
      </c>
    </row>
    <row r="104" spans="2:76">
      <c r="B104" s="25">
        <v>350</v>
      </c>
      <c r="C104" s="36">
        <v>5.3501264834801422E-2</v>
      </c>
      <c r="E104" s="25">
        <v>350</v>
      </c>
      <c r="F104" s="36"/>
      <c r="H104" s="25">
        <v>350</v>
      </c>
      <c r="I104" s="36"/>
      <c r="K104" s="25">
        <v>1375</v>
      </c>
      <c r="L104" s="36"/>
      <c r="N104" s="25">
        <v>525</v>
      </c>
      <c r="O104" s="36">
        <v>146705.79532900258</v>
      </c>
      <c r="Q104" s="25">
        <v>450</v>
      </c>
      <c r="R104" s="36">
        <v>427888.89205368486</v>
      </c>
      <c r="V104" s="25">
        <f t="shared" si="41"/>
        <v>350</v>
      </c>
      <c r="W104" s="25">
        <f t="shared" si="41"/>
        <v>5.3501264834801422E-2</v>
      </c>
      <c r="Y104" s="25">
        <f t="shared" si="42"/>
        <v>350</v>
      </c>
      <c r="Z104" s="25">
        <f t="shared" si="42"/>
        <v>5.3501264834801422E-2</v>
      </c>
      <c r="AA104" s="25">
        <f>VLOOKUP(Y104,'Hazard Weighting Functions'!$B$5:$G$1205,2,FALSE)</f>
        <v>2.0000000000000001E-4</v>
      </c>
      <c r="AB104" s="25">
        <f t="shared" si="43"/>
        <v>1.0700252966960285E-5</v>
      </c>
      <c r="AC104" s="25">
        <f t="shared" si="44"/>
        <v>2.1410296320269022E-5</v>
      </c>
      <c r="AD104" s="25">
        <f t="shared" si="36"/>
        <v>0.11202609190206228</v>
      </c>
      <c r="AE104" s="25">
        <f>VLOOKUP(Y104,'Hazard Weighting Functions'!$B$5:$G$1205,3,FALSE)</f>
        <v>0.01</v>
      </c>
      <c r="AF104" s="25">
        <f t="shared" si="45"/>
        <v>5.3501264834801424E-4</v>
      </c>
      <c r="AG104" s="25">
        <f t="shared" si="46"/>
        <v>1.1202609190206229E-3</v>
      </c>
      <c r="AH104" s="25">
        <f>VLOOKUP(Y104,'Hazard Weighting Functions'!$B$5:$G$1205,5,FALSE)</f>
        <v>0</v>
      </c>
      <c r="AI104" s="25">
        <f t="shared" si="47"/>
        <v>0</v>
      </c>
      <c r="AJ104" s="25">
        <f t="shared" si="48"/>
        <v>0</v>
      </c>
      <c r="AP104" s="20">
        <f>'IEC_EN62471- LED non-GLS'!E154</f>
        <v>525</v>
      </c>
      <c r="AQ104" s="20">
        <f t="shared" si="49"/>
        <v>101.88684635920542</v>
      </c>
      <c r="AR104" s="25">
        <f>VLOOKUP(AP104,'Hazard Weighting Functions'!$B$5:$G$1205,3,FALSE)</f>
        <v>3.2000000000000001E-2</v>
      </c>
      <c r="AS104" s="25">
        <f t="shared" si="50"/>
        <v>3.2603790834945734</v>
      </c>
      <c r="AT104" s="25">
        <f t="shared" si="51"/>
        <v>14.945418253359197</v>
      </c>
      <c r="AU104" s="20">
        <f t="shared" si="40"/>
        <v>525</v>
      </c>
      <c r="AV104" s="25">
        <f>O104</f>
        <v>146705.79532900258</v>
      </c>
      <c r="AW104" s="25">
        <f>VLOOKUP(AU104,'Hazard Weighting Functions'!$B$5:$G$1205,3,FALSE)</f>
        <v>3.2000000000000001E-2</v>
      </c>
      <c r="AX104" s="25">
        <f t="shared" si="52"/>
        <v>4694.5854505280822</v>
      </c>
      <c r="AY104" s="25">
        <f t="shared" si="53"/>
        <v>21481.977999004419</v>
      </c>
      <c r="AZ104" s="20">
        <f t="shared" si="37"/>
        <v>450</v>
      </c>
      <c r="BA104" s="20">
        <f t="shared" si="37"/>
        <v>427888.89205368486</v>
      </c>
      <c r="BB104" s="25">
        <f>VLOOKUP(AZ104,'Hazard Weighting Functions'!$B$5:$G$1205,3,FALSE)</f>
        <v>0.94</v>
      </c>
      <c r="BC104" s="25">
        <f t="shared" si="54"/>
        <v>402215.55853046372</v>
      </c>
      <c r="BD104" s="25">
        <f t="shared" si="55"/>
        <v>765613.22808436572</v>
      </c>
      <c r="BF104" s="20">
        <f t="shared" si="56"/>
        <v>725</v>
      </c>
      <c r="BG104" s="20">
        <f t="shared" si="56"/>
        <v>0</v>
      </c>
      <c r="BH104" s="25">
        <f>VLOOKUP(BF104,'Hazard Weighting Functions'!$B$5:$G$1205,4,FALSE)</f>
        <v>0.89100000000000001</v>
      </c>
      <c r="BI104" s="25">
        <f t="shared" si="57"/>
        <v>0</v>
      </c>
      <c r="BJ104" s="25">
        <f t="shared" si="58"/>
        <v>0</v>
      </c>
      <c r="BK104" s="1">
        <f t="shared" si="38"/>
        <v>525</v>
      </c>
      <c r="BL104" s="20">
        <f t="shared" si="38"/>
        <v>146705.79532900258</v>
      </c>
      <c r="BM104" s="25">
        <f>VLOOKUP(BK104,'Hazard Weighting Functions'!$B$5:$G$1205,4,FALSE)</f>
        <v>1</v>
      </c>
      <c r="BN104" s="25">
        <f t="shared" si="59"/>
        <v>146705.79532900258</v>
      </c>
      <c r="BO104" s="25">
        <f t="shared" si="34"/>
        <v>756585.06322987494</v>
      </c>
      <c r="BP104" s="20">
        <f t="shared" si="39"/>
        <v>450</v>
      </c>
      <c r="BQ104" s="20">
        <f t="shared" si="39"/>
        <v>427888.89205368486</v>
      </c>
      <c r="BR104" s="25">
        <f>VLOOKUP(BP104,'Hazard Weighting Functions'!$B$5:$G$1205,4,FALSE)</f>
        <v>9.4</v>
      </c>
      <c r="BS104" s="25">
        <f t="shared" si="60"/>
        <v>4022155.5853046379</v>
      </c>
      <c r="BT104" s="25">
        <f t="shared" si="61"/>
        <v>7656132.280056905</v>
      </c>
      <c r="BV104" s="25">
        <f>VLOOKUP(BK104,'Hazard Weighting Functions'!$B$5:$G$1205,5,FALSE)</f>
        <v>0.79320000000000002</v>
      </c>
      <c r="BW104" s="25">
        <f t="shared" si="62"/>
        <v>116367.03685496484</v>
      </c>
      <c r="BX104" s="25">
        <f t="shared" si="63"/>
        <v>626942.92770756385</v>
      </c>
    </row>
    <row r="105" spans="2:76">
      <c r="B105" s="25">
        <v>352</v>
      </c>
      <c r="C105" s="36">
        <v>5.8524827067260865E-2</v>
      </c>
      <c r="E105" s="25">
        <v>352</v>
      </c>
      <c r="F105" s="36"/>
      <c r="H105" s="25">
        <v>352</v>
      </c>
      <c r="I105" s="36"/>
      <c r="K105" s="25">
        <v>1380</v>
      </c>
      <c r="L105" s="36"/>
      <c r="N105" s="25">
        <v>530</v>
      </c>
      <c r="O105" s="36">
        <v>155928.2299629474</v>
      </c>
      <c r="Q105" s="25">
        <v>452</v>
      </c>
      <c r="R105" s="36">
        <v>393376.50897395809</v>
      </c>
      <c r="V105" s="25">
        <f t="shared" si="41"/>
        <v>352</v>
      </c>
      <c r="W105" s="25">
        <f t="shared" si="41"/>
        <v>5.8524827067260865E-2</v>
      </c>
      <c r="Y105" s="25">
        <f t="shared" si="42"/>
        <v>352</v>
      </c>
      <c r="Z105" s="25">
        <f t="shared" si="42"/>
        <v>5.8524827067260865E-2</v>
      </c>
      <c r="AA105" s="25">
        <f>VLOOKUP(Y105,'Hazard Weighting Functions'!$B$5:$G$1205,2,FALSE)</f>
        <v>1.83E-4</v>
      </c>
      <c r="AB105" s="25">
        <f t="shared" si="43"/>
        <v>1.0710043353308738E-5</v>
      </c>
      <c r="AC105" s="25">
        <f t="shared" si="44"/>
        <v>2.216377432745331E-5</v>
      </c>
      <c r="AD105" s="25">
        <f t="shared" si="36"/>
        <v>0.1271100424813002</v>
      </c>
      <c r="AE105" s="25">
        <f>VLOOKUP(Y105,'Hazard Weighting Functions'!$B$5:$G$1205,3,FALSE)</f>
        <v>0.01</v>
      </c>
      <c r="AF105" s="25">
        <f t="shared" si="45"/>
        <v>5.8524827067260869E-4</v>
      </c>
      <c r="AG105" s="25">
        <f t="shared" si="46"/>
        <v>1.2711004248130023E-3</v>
      </c>
      <c r="AH105" s="25">
        <f>VLOOKUP(Y105,'Hazard Weighting Functions'!$B$5:$G$1205,5,FALSE)</f>
        <v>0</v>
      </c>
      <c r="AI105" s="25">
        <f t="shared" si="47"/>
        <v>0</v>
      </c>
      <c r="AJ105" s="25">
        <f t="shared" si="48"/>
        <v>0</v>
      </c>
      <c r="AP105" s="20">
        <f>'IEC_EN62471- LED non-GLS'!E155</f>
        <v>530</v>
      </c>
      <c r="AQ105" s="20">
        <f t="shared" si="49"/>
        <v>108.71152871396421</v>
      </c>
      <c r="AR105" s="25">
        <f>VLOOKUP(AP105,'Hazard Weighting Functions'!$B$5:$G$1205,3,FALSE)</f>
        <v>2.5000000000000001E-2</v>
      </c>
      <c r="AS105" s="25">
        <f t="shared" si="50"/>
        <v>2.7177882178491055</v>
      </c>
      <c r="AT105" s="25">
        <f t="shared" si="51"/>
        <v>12.467862167428883</v>
      </c>
      <c r="AU105" s="20">
        <f t="shared" si="40"/>
        <v>530</v>
      </c>
      <c r="AV105" s="25">
        <f>O105</f>
        <v>155928.2299629474</v>
      </c>
      <c r="AW105" s="25">
        <f>VLOOKUP(AU105,'Hazard Weighting Functions'!$B$5:$G$1205,3,FALSE)</f>
        <v>2.5000000000000001E-2</v>
      </c>
      <c r="AX105" s="25">
        <f t="shared" si="52"/>
        <v>3898.2057490736852</v>
      </c>
      <c r="AY105" s="25">
        <f t="shared" si="53"/>
        <v>17855.200694070267</v>
      </c>
      <c r="AZ105" s="20">
        <f t="shared" si="37"/>
        <v>452</v>
      </c>
      <c r="BA105" s="20">
        <f t="shared" si="37"/>
        <v>393376.50897395809</v>
      </c>
      <c r="BB105" s="25">
        <f>VLOOKUP(AZ105,'Hazard Weighting Functions'!$B$5:$G$1205,3,FALSE)</f>
        <v>0.92379097700000001</v>
      </c>
      <c r="BC105" s="25">
        <f t="shared" si="54"/>
        <v>363397.669553902</v>
      </c>
      <c r="BD105" s="25">
        <f t="shared" si="55"/>
        <v>672316.41593874944</v>
      </c>
      <c r="BF105" s="20">
        <f t="shared" si="56"/>
        <v>730</v>
      </c>
      <c r="BG105" s="20">
        <f t="shared" si="56"/>
        <v>0</v>
      </c>
      <c r="BH105" s="25">
        <f>VLOOKUP(BF105,'Hazard Weighting Functions'!$B$5:$G$1205,4,FALSE)</f>
        <v>0.871</v>
      </c>
      <c r="BI105" s="25">
        <f t="shared" si="57"/>
        <v>0</v>
      </c>
      <c r="BJ105" s="25">
        <f t="shared" si="58"/>
        <v>0</v>
      </c>
      <c r="BK105" s="1">
        <f t="shared" si="38"/>
        <v>530</v>
      </c>
      <c r="BL105" s="20">
        <f t="shared" si="38"/>
        <v>155928.2299629474</v>
      </c>
      <c r="BM105" s="25">
        <f>VLOOKUP(BK105,'Hazard Weighting Functions'!$B$5:$G$1205,4,FALSE)</f>
        <v>1</v>
      </c>
      <c r="BN105" s="25">
        <f t="shared" si="59"/>
        <v>155928.2299629474</v>
      </c>
      <c r="BO105" s="25">
        <f t="shared" si="34"/>
        <v>795304.89097667101</v>
      </c>
      <c r="BP105" s="20">
        <f t="shared" si="39"/>
        <v>452</v>
      </c>
      <c r="BQ105" s="20">
        <f t="shared" si="39"/>
        <v>393376.50897395809</v>
      </c>
      <c r="BR105" s="25">
        <f>VLOOKUP(BP105,'Hazard Weighting Functions'!$B$5:$G$1205,4,FALSE)</f>
        <v>9.2379097679999997</v>
      </c>
      <c r="BS105" s="25">
        <f t="shared" si="60"/>
        <v>3633976.6947522671</v>
      </c>
      <c r="BT105" s="25">
        <f t="shared" si="61"/>
        <v>6723164.1592812836</v>
      </c>
      <c r="BV105" s="25">
        <f>VLOOKUP(BK105,'Hazard Weighting Functions'!$B$5:$G$1205,5,FALSE)</f>
        <v>0.86199999999999999</v>
      </c>
      <c r="BW105" s="25">
        <f t="shared" si="62"/>
        <v>134410.13422806066</v>
      </c>
      <c r="BX105" s="25">
        <f t="shared" si="63"/>
        <v>706982.66212615313</v>
      </c>
    </row>
    <row r="106" spans="2:76">
      <c r="B106" s="25">
        <v>354</v>
      </c>
      <c r="C106" s="36">
        <v>6.8585215414039349E-2</v>
      </c>
      <c r="E106" s="25">
        <v>354</v>
      </c>
      <c r="F106" s="36"/>
      <c r="H106" s="25">
        <v>354</v>
      </c>
      <c r="I106" s="36"/>
      <c r="K106" s="25">
        <v>1385</v>
      </c>
      <c r="L106" s="36"/>
      <c r="N106" s="25">
        <v>535</v>
      </c>
      <c r="O106" s="36">
        <v>162193.72642772103</v>
      </c>
      <c r="Q106" s="25">
        <v>454</v>
      </c>
      <c r="R106" s="36">
        <v>340270.80271248735</v>
      </c>
      <c r="V106" s="25">
        <f t="shared" si="41"/>
        <v>354</v>
      </c>
      <c r="W106" s="25">
        <f t="shared" si="41"/>
        <v>6.8585215414039349E-2</v>
      </c>
      <c r="Y106" s="25">
        <f t="shared" si="42"/>
        <v>354</v>
      </c>
      <c r="Z106" s="25">
        <f t="shared" si="42"/>
        <v>6.8585215414039349E-2</v>
      </c>
      <c r="AA106" s="25">
        <f>VLOOKUP(Y106,'Hazard Weighting Functions'!$B$5:$G$1205,2,FALSE)</f>
        <v>1.6699999999999999E-4</v>
      </c>
      <c r="AB106" s="25">
        <f t="shared" si="43"/>
        <v>1.1453730974144572E-5</v>
      </c>
      <c r="AC106" s="25">
        <f t="shared" si="44"/>
        <v>2.1867041504249567E-5</v>
      </c>
      <c r="AD106" s="25">
        <f t="shared" si="36"/>
        <v>0.1366460685519805</v>
      </c>
      <c r="AE106" s="25">
        <f>VLOOKUP(Y106,'Hazard Weighting Functions'!$B$5:$G$1205,3,FALSE)</f>
        <v>0.01</v>
      </c>
      <c r="AF106" s="25">
        <f t="shared" si="45"/>
        <v>6.8585215414039352E-4</v>
      </c>
      <c r="AG106" s="25">
        <f t="shared" si="46"/>
        <v>1.3664606855198049E-3</v>
      </c>
      <c r="AH106" s="25">
        <f>VLOOKUP(Y106,'Hazard Weighting Functions'!$B$5:$G$1205,5,FALSE)</f>
        <v>0</v>
      </c>
      <c r="AI106" s="25">
        <f t="shared" si="47"/>
        <v>0</v>
      </c>
      <c r="AJ106" s="25">
        <f t="shared" si="48"/>
        <v>0</v>
      </c>
      <c r="AP106" s="20">
        <f>'IEC_EN62471- LED non-GLS'!E156</f>
        <v>535</v>
      </c>
      <c r="AQ106" s="20">
        <f t="shared" si="49"/>
        <v>113.46783245612239</v>
      </c>
      <c r="AR106" s="25">
        <f>VLOOKUP(AP106,'Hazard Weighting Functions'!$B$5:$G$1205,3,FALSE)</f>
        <v>0.02</v>
      </c>
      <c r="AS106" s="25">
        <f t="shared" si="50"/>
        <v>2.2693566491224479</v>
      </c>
      <c r="AT106" s="25">
        <f t="shared" si="51"/>
        <v>10.339602952167102</v>
      </c>
      <c r="AU106" s="20">
        <f t="shared" si="40"/>
        <v>535</v>
      </c>
      <c r="AV106" s="25">
        <f>O106</f>
        <v>162193.72642772103</v>
      </c>
      <c r="AW106" s="25">
        <f>VLOOKUP(AU106,'Hazard Weighting Functions'!$B$5:$G$1205,3,FALSE)</f>
        <v>0.02</v>
      </c>
      <c r="AX106" s="25">
        <f t="shared" si="52"/>
        <v>3243.874528554421</v>
      </c>
      <c r="AY106" s="25">
        <f t="shared" si="53"/>
        <v>14763.003208513819</v>
      </c>
      <c r="AZ106" s="20">
        <f t="shared" si="37"/>
        <v>454</v>
      </c>
      <c r="BA106" s="20">
        <f t="shared" si="37"/>
        <v>340270.80271248735</v>
      </c>
      <c r="BB106" s="25">
        <f>VLOOKUP(AZ106,'Hazard Weighting Functions'!$B$5:$G$1205,3,FALSE)</f>
        <v>0.90786145600000001</v>
      </c>
      <c r="BC106" s="25">
        <f t="shared" si="54"/>
        <v>308918.7463848475</v>
      </c>
      <c r="BD106" s="25">
        <f t="shared" si="55"/>
        <v>553631.79526151542</v>
      </c>
      <c r="BF106" s="20">
        <f t="shared" si="56"/>
        <v>735</v>
      </c>
      <c r="BG106" s="20">
        <f t="shared" si="56"/>
        <v>0</v>
      </c>
      <c r="BH106" s="25">
        <f>VLOOKUP(BF106,'Hazard Weighting Functions'!$B$5:$G$1205,4,FALSE)</f>
        <v>0.85099999999999998</v>
      </c>
      <c r="BI106" s="25">
        <f t="shared" si="57"/>
        <v>0</v>
      </c>
      <c r="BJ106" s="25">
        <f t="shared" si="58"/>
        <v>0</v>
      </c>
      <c r="BK106" s="1">
        <f t="shared" si="38"/>
        <v>535</v>
      </c>
      <c r="BL106" s="20">
        <f t="shared" si="38"/>
        <v>162193.72642772103</v>
      </c>
      <c r="BM106" s="25">
        <f>VLOOKUP(BK106,'Hazard Weighting Functions'!$B$5:$G$1205,4,FALSE)</f>
        <v>1</v>
      </c>
      <c r="BN106" s="25">
        <f t="shared" si="59"/>
        <v>162193.72642772103</v>
      </c>
      <c r="BO106" s="25">
        <f t="shared" si="34"/>
        <v>821316.62151478801</v>
      </c>
      <c r="BP106" s="20">
        <f t="shared" si="39"/>
        <v>454</v>
      </c>
      <c r="BQ106" s="20">
        <f t="shared" si="39"/>
        <v>340270.80271248735</v>
      </c>
      <c r="BR106" s="25">
        <f>VLOOKUP(BP106,'Hazard Weighting Functions'!$B$5:$G$1205,4,FALSE)</f>
        <v>9.0786145620000003</v>
      </c>
      <c r="BS106" s="25">
        <f t="shared" si="60"/>
        <v>3089187.464529017</v>
      </c>
      <c r="BT106" s="25">
        <f t="shared" si="61"/>
        <v>5536317.9546876177</v>
      </c>
      <c r="BV106" s="25">
        <f>VLOOKUP(BK106,'Hazard Weighting Functions'!$B$5:$G$1205,5,FALSE)</f>
        <v>0.91485000000000005</v>
      </c>
      <c r="BW106" s="25">
        <f t="shared" si="62"/>
        <v>148382.9306224006</v>
      </c>
      <c r="BX106" s="25">
        <f t="shared" si="63"/>
        <v>767661.34595099464</v>
      </c>
    </row>
    <row r="107" spans="2:76">
      <c r="B107" s="25">
        <v>356</v>
      </c>
      <c r="C107" s="36">
        <v>6.8060853137941149E-2</v>
      </c>
      <c r="E107" s="25">
        <v>356</v>
      </c>
      <c r="F107" s="36"/>
      <c r="H107" s="25">
        <v>356</v>
      </c>
      <c r="I107" s="36"/>
      <c r="K107" s="25">
        <v>1390</v>
      </c>
      <c r="L107" s="36"/>
      <c r="N107" s="25">
        <v>540</v>
      </c>
      <c r="O107" s="36">
        <v>166332.92217819416</v>
      </c>
      <c r="Q107" s="25">
        <v>456</v>
      </c>
      <c r="R107" s="36">
        <v>278384.54642107757</v>
      </c>
      <c r="V107" s="25">
        <f t="shared" si="41"/>
        <v>356</v>
      </c>
      <c r="W107" s="25">
        <f t="shared" si="41"/>
        <v>6.8060853137941149E-2</v>
      </c>
      <c r="Y107" s="25">
        <f t="shared" si="42"/>
        <v>356</v>
      </c>
      <c r="Z107" s="25">
        <f t="shared" si="42"/>
        <v>6.8060853137941149E-2</v>
      </c>
      <c r="AA107" s="25">
        <f>VLOOKUP(Y107,'Hazard Weighting Functions'!$B$5:$G$1205,2,FALSE)</f>
        <v>1.5300000000000001E-4</v>
      </c>
      <c r="AB107" s="25">
        <f t="shared" si="43"/>
        <v>1.0413310530104995E-5</v>
      </c>
      <c r="AC107" s="25">
        <f t="shared" si="44"/>
        <v>1.977257024938758E-5</v>
      </c>
      <c r="AD107" s="25">
        <f t="shared" si="36"/>
        <v>0.1344385816434914</v>
      </c>
      <c r="AE107" s="25">
        <f>VLOOKUP(Y107,'Hazard Weighting Functions'!$B$5:$G$1205,3,FALSE)</f>
        <v>0.01</v>
      </c>
      <c r="AF107" s="25">
        <f t="shared" si="45"/>
        <v>6.8060853137941147E-4</v>
      </c>
      <c r="AG107" s="25">
        <f t="shared" si="46"/>
        <v>1.3443858164349141E-3</v>
      </c>
      <c r="AH107" s="25">
        <f>VLOOKUP(Y107,'Hazard Weighting Functions'!$B$5:$G$1205,5,FALSE)</f>
        <v>0</v>
      </c>
      <c r="AI107" s="25">
        <f t="shared" si="47"/>
        <v>0</v>
      </c>
      <c r="AJ107" s="25">
        <f t="shared" si="48"/>
        <v>0</v>
      </c>
      <c r="AP107" s="20">
        <f>'IEC_EN62471- LED non-GLS'!E157</f>
        <v>540</v>
      </c>
      <c r="AQ107" s="20">
        <f t="shared" si="49"/>
        <v>116.65528323402454</v>
      </c>
      <c r="AR107" s="25">
        <f>VLOOKUP(AP107,'Hazard Weighting Functions'!$B$5:$G$1205,3,FALSE)</f>
        <v>1.6E-2</v>
      </c>
      <c r="AS107" s="25">
        <f t="shared" si="50"/>
        <v>1.8664845317443925</v>
      </c>
      <c r="AT107" s="25">
        <f t="shared" si="51"/>
        <v>8.5141827756031851</v>
      </c>
      <c r="AU107" s="20">
        <f t="shared" si="40"/>
        <v>540</v>
      </c>
      <c r="AV107" s="25">
        <f>O107</f>
        <v>166332.92217819416</v>
      </c>
      <c r="AW107" s="25">
        <f>VLOOKUP(AU107,'Hazard Weighting Functions'!$B$5:$G$1205,3,FALSE)</f>
        <v>1.6E-2</v>
      </c>
      <c r="AX107" s="25">
        <f t="shared" si="52"/>
        <v>2661.3267548511067</v>
      </c>
      <c r="AY107" s="25">
        <f t="shared" si="53"/>
        <v>12125.415318138781</v>
      </c>
      <c r="AZ107" s="20">
        <f t="shared" si="37"/>
        <v>456</v>
      </c>
      <c r="BA107" s="20">
        <f t="shared" si="37"/>
        <v>278384.54642107757</v>
      </c>
      <c r="BB107" s="25">
        <f>VLOOKUP(AZ107,'Hazard Weighting Functions'!$B$5:$G$1205,3,FALSE)</f>
        <v>0.87904681500000004</v>
      </c>
      <c r="BC107" s="25">
        <f t="shared" si="54"/>
        <v>244713.04887666789</v>
      </c>
      <c r="BD107" s="25">
        <f t="shared" si="55"/>
        <v>429669.34072981006</v>
      </c>
      <c r="BF107" s="20">
        <f t="shared" si="56"/>
        <v>740</v>
      </c>
      <c r="BG107" s="20">
        <f t="shared" si="56"/>
        <v>0</v>
      </c>
      <c r="BH107" s="25">
        <f>VLOOKUP(BF107,'Hazard Weighting Functions'!$B$5:$G$1205,4,FALSE)</f>
        <v>0.83199999999999996</v>
      </c>
      <c r="BI107" s="25">
        <f t="shared" si="57"/>
        <v>0</v>
      </c>
      <c r="BJ107" s="25">
        <f t="shared" si="58"/>
        <v>0</v>
      </c>
      <c r="BK107" s="1">
        <f t="shared" si="38"/>
        <v>540</v>
      </c>
      <c r="BL107" s="20">
        <f t="shared" si="38"/>
        <v>166332.92217819416</v>
      </c>
      <c r="BM107" s="25">
        <f>VLOOKUP(BK107,'Hazard Weighting Functions'!$B$5:$G$1205,4,FALSE)</f>
        <v>1</v>
      </c>
      <c r="BN107" s="25">
        <f t="shared" si="59"/>
        <v>166332.92217819416</v>
      </c>
      <c r="BO107" s="25">
        <f t="shared" si="34"/>
        <v>836762.95398479421</v>
      </c>
      <c r="BP107" s="20">
        <f t="shared" si="39"/>
        <v>456</v>
      </c>
      <c r="BQ107" s="20">
        <f t="shared" si="39"/>
        <v>278384.54642107757</v>
      </c>
      <c r="BR107" s="25">
        <f>VLOOKUP(BP107,'Hazard Weighting Functions'!$B$5:$G$1205,4,FALSE)</f>
        <v>8.7904681549999992</v>
      </c>
      <c r="BS107" s="25">
        <f t="shared" si="60"/>
        <v>2447130.4901586012</v>
      </c>
      <c r="BT107" s="25">
        <f t="shared" si="61"/>
        <v>4296693.4075872451</v>
      </c>
      <c r="BV107" s="25">
        <f>VLOOKUP(BK107,'Hazard Weighting Functions'!$B$5:$G$1205,5,FALSE)</f>
        <v>0.95399999999999996</v>
      </c>
      <c r="BW107" s="25">
        <f t="shared" si="62"/>
        <v>158681.60775799723</v>
      </c>
      <c r="BX107" s="25">
        <f t="shared" si="63"/>
        <v>809342.33415807737</v>
      </c>
    </row>
    <row r="108" spans="2:76">
      <c r="B108" s="25">
        <v>358</v>
      </c>
      <c r="C108" s="36">
        <v>6.6377728505550251E-2</v>
      </c>
      <c r="E108" s="25">
        <v>358</v>
      </c>
      <c r="F108" s="36"/>
      <c r="H108" s="25">
        <v>358</v>
      </c>
      <c r="I108" s="36"/>
      <c r="K108" s="25">
        <v>1395</v>
      </c>
      <c r="L108" s="36"/>
      <c r="N108" s="25">
        <v>545</v>
      </c>
      <c r="O108" s="36">
        <v>168372.25941572353</v>
      </c>
      <c r="Q108" s="25">
        <v>458</v>
      </c>
      <c r="R108" s="36">
        <v>220555.61237341244</v>
      </c>
      <c r="V108" s="25">
        <f t="shared" si="41"/>
        <v>358</v>
      </c>
      <c r="W108" s="25">
        <f t="shared" si="41"/>
        <v>6.6377728505550251E-2</v>
      </c>
      <c r="Y108" s="25">
        <f t="shared" si="42"/>
        <v>358</v>
      </c>
      <c r="Z108" s="25">
        <f t="shared" si="42"/>
        <v>6.6377728505550251E-2</v>
      </c>
      <c r="AA108" s="25">
        <f>VLOOKUP(Y108,'Hazard Weighting Functions'!$B$5:$G$1205,2,FALSE)</f>
        <v>1.4100000000000001E-4</v>
      </c>
      <c r="AB108" s="25">
        <f t="shared" si="43"/>
        <v>9.3592597192825859E-6</v>
      </c>
      <c r="AC108" s="25">
        <f t="shared" si="44"/>
        <v>1.8868078087374345E-5</v>
      </c>
      <c r="AD108" s="25">
        <f t="shared" si="36"/>
        <v>0.13952248518317917</v>
      </c>
      <c r="AE108" s="25">
        <f>VLOOKUP(Y108,'Hazard Weighting Functions'!$B$5:$G$1205,3,FALSE)</f>
        <v>0.01</v>
      </c>
      <c r="AF108" s="25">
        <f t="shared" si="45"/>
        <v>6.6377728505550247E-4</v>
      </c>
      <c r="AG108" s="25">
        <f t="shared" si="46"/>
        <v>1.3952248518317918E-3</v>
      </c>
      <c r="AH108" s="25">
        <f>VLOOKUP(Y108,'Hazard Weighting Functions'!$B$5:$G$1205,5,FALSE)</f>
        <v>0</v>
      </c>
      <c r="AI108" s="25">
        <f t="shared" si="47"/>
        <v>0</v>
      </c>
      <c r="AJ108" s="25">
        <f t="shared" si="48"/>
        <v>0</v>
      </c>
      <c r="AP108" s="20">
        <f>'IEC_EN62471- LED non-GLS'!E158</f>
        <v>545</v>
      </c>
      <c r="AQ108" s="20">
        <f t="shared" si="49"/>
        <v>118.39912142283706</v>
      </c>
      <c r="AR108" s="25">
        <f>VLOOKUP(AP108,'Hazard Weighting Functions'!$B$5:$G$1205,3,FALSE)</f>
        <v>1.2999999999999999E-2</v>
      </c>
      <c r="AS108" s="25">
        <f t="shared" si="50"/>
        <v>1.5391885784968817</v>
      </c>
      <c r="AT108" s="25">
        <f t="shared" si="51"/>
        <v>6.8309602196862933</v>
      </c>
      <c r="AU108" s="20">
        <f t="shared" si="40"/>
        <v>545</v>
      </c>
      <c r="AV108" s="25">
        <f>O108</f>
        <v>168372.25941572353</v>
      </c>
      <c r="AW108" s="25">
        <f>VLOOKUP(AU108,'Hazard Weighting Functions'!$B$5:$G$1205,3,FALSE)</f>
        <v>1.2999999999999999E-2</v>
      </c>
      <c r="AX108" s="25">
        <f t="shared" si="52"/>
        <v>2188.8393724044058</v>
      </c>
      <c r="AY108" s="25">
        <f t="shared" si="53"/>
        <v>9724.8215031473883</v>
      </c>
      <c r="AZ108" s="20">
        <f t="shared" si="37"/>
        <v>458</v>
      </c>
      <c r="BA108" s="20">
        <f t="shared" si="37"/>
        <v>220555.61237341244</v>
      </c>
      <c r="BB108" s="25">
        <f>VLOOKUP(AZ108,'Hazard Weighting Functions'!$B$5:$G$1205,3,FALSE)</f>
        <v>0.83859254299999997</v>
      </c>
      <c r="BC108" s="25">
        <f t="shared" si="54"/>
        <v>184956.2918531422</v>
      </c>
      <c r="BD108" s="25">
        <f t="shared" si="55"/>
        <v>325539.69533596898</v>
      </c>
      <c r="BF108" s="20">
        <f t="shared" si="56"/>
        <v>745</v>
      </c>
      <c r="BG108" s="20">
        <f t="shared" si="56"/>
        <v>0</v>
      </c>
      <c r="BH108" s="25">
        <f>VLOOKUP(BF108,'Hazard Weighting Functions'!$B$5:$G$1205,4,FALSE)</f>
        <v>0.81299999999999994</v>
      </c>
      <c r="BI108" s="25">
        <f t="shared" si="57"/>
        <v>0</v>
      </c>
      <c r="BJ108" s="25">
        <f t="shared" si="58"/>
        <v>0</v>
      </c>
      <c r="BK108" s="1">
        <f t="shared" si="38"/>
        <v>545</v>
      </c>
      <c r="BL108" s="20">
        <f t="shared" si="38"/>
        <v>168372.25941572353</v>
      </c>
      <c r="BM108" s="25">
        <f>VLOOKUP(BK108,'Hazard Weighting Functions'!$B$5:$G$1205,4,FALSE)</f>
        <v>1</v>
      </c>
      <c r="BN108" s="25">
        <f t="shared" si="59"/>
        <v>168372.25941572353</v>
      </c>
      <c r="BO108" s="25">
        <f t="shared" si="34"/>
        <v>846202.9557529462</v>
      </c>
      <c r="BP108" s="20">
        <f t="shared" si="39"/>
        <v>458</v>
      </c>
      <c r="BQ108" s="20">
        <f t="shared" si="39"/>
        <v>220555.61237341244</v>
      </c>
      <c r="BR108" s="25">
        <f>VLOOKUP(BP108,'Hazard Weighting Functions'!$B$5:$G$1205,4,FALSE)</f>
        <v>8.3859254249999999</v>
      </c>
      <c r="BS108" s="25">
        <f t="shared" si="60"/>
        <v>1849562.9174286439</v>
      </c>
      <c r="BT108" s="25">
        <f t="shared" si="61"/>
        <v>3255396.9522569114</v>
      </c>
      <c r="BV108" s="25">
        <f>VLOOKUP(BK108,'Hazard Weighting Functions'!$B$5:$G$1205,5,FALSE)</f>
        <v>0.98029999999999995</v>
      </c>
      <c r="BW108" s="25">
        <f t="shared" si="62"/>
        <v>165055.32590523377</v>
      </c>
      <c r="BX108" s="25">
        <f t="shared" si="63"/>
        <v>835762.99682529294</v>
      </c>
    </row>
    <row r="109" spans="2:76">
      <c r="B109" s="25">
        <v>360</v>
      </c>
      <c r="C109" s="36">
        <v>7.3144756677628917E-2</v>
      </c>
      <c r="E109" s="25">
        <v>360</v>
      </c>
      <c r="F109" s="36"/>
      <c r="H109" s="25">
        <v>360</v>
      </c>
      <c r="I109" s="36"/>
      <c r="K109" s="25">
        <v>1400</v>
      </c>
      <c r="L109" s="36"/>
      <c r="N109" s="25">
        <v>550</v>
      </c>
      <c r="O109" s="36">
        <v>170108.92288545493</v>
      </c>
      <c r="Q109" s="25">
        <v>460</v>
      </c>
      <c r="R109" s="36">
        <v>175729.25435353341</v>
      </c>
      <c r="V109" s="25">
        <f t="shared" si="41"/>
        <v>360</v>
      </c>
      <c r="W109" s="25">
        <f t="shared" si="41"/>
        <v>7.3144756677628917E-2</v>
      </c>
      <c r="Y109" s="25">
        <f t="shared" si="42"/>
        <v>360</v>
      </c>
      <c r="Z109" s="25">
        <f t="shared" si="42"/>
        <v>7.3144756677628917E-2</v>
      </c>
      <c r="AA109" s="25">
        <f>VLOOKUP(Y109,'Hazard Weighting Functions'!$B$5:$G$1205,2,FALSE)</f>
        <v>1.2999999999999999E-4</v>
      </c>
      <c r="AB109" s="25">
        <f t="shared" si="43"/>
        <v>9.5088183680917591E-6</v>
      </c>
      <c r="AC109" s="25">
        <f t="shared" si="44"/>
        <v>1.8155516689566358E-5</v>
      </c>
      <c r="AD109" s="25">
        <f t="shared" si="36"/>
        <v>0.1440193330831584</v>
      </c>
      <c r="AE109" s="25">
        <f>VLOOKUP(Y109,'Hazard Weighting Functions'!$B$5:$G$1205,3,FALSE)</f>
        <v>0.01</v>
      </c>
      <c r="AF109" s="25">
        <f t="shared" si="45"/>
        <v>7.3144756677628918E-4</v>
      </c>
      <c r="AG109" s="25">
        <f t="shared" si="46"/>
        <v>1.4401933308315841E-3</v>
      </c>
      <c r="AH109" s="25">
        <f>VLOOKUP(Y109,'Hazard Weighting Functions'!$B$5:$G$1205,5,FALSE)</f>
        <v>0</v>
      </c>
      <c r="AI109" s="25">
        <f t="shared" si="47"/>
        <v>0</v>
      </c>
      <c r="AJ109" s="25">
        <f t="shared" si="48"/>
        <v>0</v>
      </c>
      <c r="AP109" s="20">
        <f>'IEC_EN62471- LED non-GLS'!E159</f>
        <v>550</v>
      </c>
      <c r="AQ109" s="20">
        <f t="shared" si="49"/>
        <v>119.31955093776357</v>
      </c>
      <c r="AR109" s="25">
        <f>VLOOKUP(AP109,'Hazard Weighting Functions'!$B$5:$G$1205,3,FALSE)</f>
        <v>0.01</v>
      </c>
      <c r="AS109" s="25">
        <f t="shared" si="50"/>
        <v>1.1931955093776356</v>
      </c>
      <c r="AT109" s="25">
        <f t="shared" si="51"/>
        <v>5.37678283265139</v>
      </c>
      <c r="AU109" s="20">
        <f t="shared" si="40"/>
        <v>550</v>
      </c>
      <c r="AV109" s="25">
        <f>O109</f>
        <v>170108.92288545493</v>
      </c>
      <c r="AW109" s="25">
        <f>VLOOKUP(AU109,'Hazard Weighting Functions'!$B$5:$G$1205,3,FALSE)</f>
        <v>0.01</v>
      </c>
      <c r="AX109" s="25">
        <f t="shared" si="52"/>
        <v>1701.0892288545492</v>
      </c>
      <c r="AY109" s="25">
        <f t="shared" si="53"/>
        <v>7639.6888243798921</v>
      </c>
      <c r="AZ109" s="20">
        <f t="shared" si="37"/>
        <v>460</v>
      </c>
      <c r="BA109" s="20">
        <f t="shared" si="37"/>
        <v>175729.25435353341</v>
      </c>
      <c r="BB109" s="25">
        <f>VLOOKUP(AZ109,'Hazard Weighting Functions'!$B$5:$G$1205,3,FALSE)</f>
        <v>0.8</v>
      </c>
      <c r="BC109" s="25">
        <f t="shared" si="54"/>
        <v>140583.40348282675</v>
      </c>
      <c r="BD109" s="25">
        <f t="shared" si="55"/>
        <v>249334.77373320097</v>
      </c>
      <c r="BF109" s="20">
        <f t="shared" si="56"/>
        <v>750</v>
      </c>
      <c r="BG109" s="20">
        <f t="shared" si="56"/>
        <v>0</v>
      </c>
      <c r="BH109" s="25">
        <f>VLOOKUP(BF109,'Hazard Weighting Functions'!$B$5:$G$1205,4,FALSE)</f>
        <v>0.79400000000000004</v>
      </c>
      <c r="BI109" s="25">
        <f t="shared" si="57"/>
        <v>0</v>
      </c>
      <c r="BJ109" s="25">
        <f t="shared" si="58"/>
        <v>0</v>
      </c>
      <c r="BK109" s="1">
        <f t="shared" si="38"/>
        <v>550</v>
      </c>
      <c r="BL109" s="20">
        <f t="shared" si="38"/>
        <v>170108.92288545493</v>
      </c>
      <c r="BM109" s="25">
        <f>VLOOKUP(BK109,'Hazard Weighting Functions'!$B$5:$G$1205,4,FALSE)</f>
        <v>1</v>
      </c>
      <c r="BN109" s="25">
        <f t="shared" si="59"/>
        <v>170108.92288545493</v>
      </c>
      <c r="BO109" s="25">
        <f t="shared" si="34"/>
        <v>848643.02624407713</v>
      </c>
      <c r="BP109" s="20">
        <f t="shared" si="39"/>
        <v>460</v>
      </c>
      <c r="BQ109" s="20">
        <f t="shared" si="39"/>
        <v>175729.25435353341</v>
      </c>
      <c r="BR109" s="25">
        <f>VLOOKUP(BP109,'Hazard Weighting Functions'!$B$5:$G$1205,4,FALSE)</f>
        <v>8</v>
      </c>
      <c r="BS109" s="25">
        <f t="shared" si="60"/>
        <v>1405834.0348282673</v>
      </c>
      <c r="BT109" s="25">
        <f t="shared" si="61"/>
        <v>2493347.7371886121</v>
      </c>
      <c r="BV109" s="25">
        <f>VLOOKUP(BK109,'Hazard Weighting Functions'!$B$5:$G$1205,5,FALSE)</f>
        <v>0.99495</v>
      </c>
      <c r="BW109" s="25">
        <f t="shared" si="62"/>
        <v>169249.87282488338</v>
      </c>
      <c r="BX109" s="25">
        <f t="shared" si="63"/>
        <v>846495.40109264839</v>
      </c>
    </row>
    <row r="110" spans="2:76">
      <c r="B110" s="25">
        <v>362</v>
      </c>
      <c r="C110" s="36">
        <v>7.0874576405529494E-2</v>
      </c>
      <c r="E110" s="25">
        <v>362</v>
      </c>
      <c r="F110" s="36"/>
      <c r="H110" s="25">
        <v>362</v>
      </c>
      <c r="I110" s="36"/>
      <c r="K110" s="25">
        <v>1405</v>
      </c>
      <c r="L110" s="36"/>
      <c r="N110" s="25">
        <v>555</v>
      </c>
      <c r="O110" s="36">
        <v>169348.28761217598</v>
      </c>
      <c r="Q110" s="25">
        <v>462</v>
      </c>
      <c r="R110" s="36">
        <v>143397.48333793564</v>
      </c>
      <c r="V110" s="25">
        <f t="shared" si="41"/>
        <v>362</v>
      </c>
      <c r="W110" s="25">
        <f t="shared" si="41"/>
        <v>7.0874576405529494E-2</v>
      </c>
      <c r="Y110" s="25">
        <f t="shared" si="42"/>
        <v>362</v>
      </c>
      <c r="Z110" s="25">
        <f t="shared" si="42"/>
        <v>7.0874576405529494E-2</v>
      </c>
      <c r="AA110" s="25">
        <f>VLOOKUP(Y110,'Hazard Weighting Functions'!$B$5:$G$1205,2,FALSE)</f>
        <v>1.22E-4</v>
      </c>
      <c r="AB110" s="25">
        <f t="shared" si="43"/>
        <v>8.6466983214745984E-6</v>
      </c>
      <c r="AC110" s="25">
        <f t="shared" si="44"/>
        <v>1.8344613882251232E-5</v>
      </c>
      <c r="AD110" s="25">
        <f t="shared" si="36"/>
        <v>0.15594401114918416</v>
      </c>
      <c r="AE110" s="25">
        <f>VLOOKUP(Y110,'Hazard Weighting Functions'!$B$5:$G$1205,3,FALSE)</f>
        <v>0.01</v>
      </c>
      <c r="AF110" s="25">
        <f t="shared" si="45"/>
        <v>7.0874576405529494E-4</v>
      </c>
      <c r="AG110" s="25">
        <f t="shared" si="46"/>
        <v>1.5594401114918418E-3</v>
      </c>
      <c r="AH110" s="25">
        <f>VLOOKUP(Y110,'Hazard Weighting Functions'!$B$5:$G$1205,5,FALSE)</f>
        <v>0</v>
      </c>
      <c r="AI110" s="25">
        <f t="shared" si="47"/>
        <v>0</v>
      </c>
      <c r="AJ110" s="25">
        <f t="shared" si="48"/>
        <v>0</v>
      </c>
      <c r="AP110" s="20">
        <f>'IEC_EN62471- LED non-GLS'!E160</f>
        <v>555</v>
      </c>
      <c r="AQ110" s="20">
        <f t="shared" si="49"/>
        <v>119.68970296036501</v>
      </c>
      <c r="AR110" s="25">
        <f>VLOOKUP(AP110,'Hazard Weighting Functions'!$B$5:$G$1205,3,FALSE)</f>
        <v>8.0000000000000002E-3</v>
      </c>
      <c r="AS110" s="25">
        <f t="shared" si="50"/>
        <v>0.95751762368292015</v>
      </c>
      <c r="AT110" s="25">
        <f t="shared" si="51"/>
        <v>4.1789727277348652</v>
      </c>
      <c r="AU110" s="20">
        <f t="shared" si="40"/>
        <v>555</v>
      </c>
      <c r="AV110" s="25">
        <f>O110</f>
        <v>169348.28761217598</v>
      </c>
      <c r="AW110" s="25">
        <f>VLOOKUP(AU110,'Hazard Weighting Functions'!$B$5:$G$1205,3,FALSE)</f>
        <v>8.0000000000000002E-3</v>
      </c>
      <c r="AX110" s="25">
        <f t="shared" si="52"/>
        <v>1354.7863008974077</v>
      </c>
      <c r="AY110" s="25">
        <f t="shared" si="53"/>
        <v>5901.178654779007</v>
      </c>
      <c r="AZ110" s="20">
        <f t="shared" si="37"/>
        <v>462</v>
      </c>
      <c r="BA110" s="20">
        <f t="shared" si="37"/>
        <v>143397.48333793564</v>
      </c>
      <c r="BB110" s="25">
        <f>VLOOKUP(AZ110,'Hazard Weighting Functions'!$B$5:$G$1205,3,FALSE)</f>
        <v>0.75839106599999995</v>
      </c>
      <c r="BC110" s="25">
        <f t="shared" si="54"/>
        <v>108751.37025037424</v>
      </c>
      <c r="BD110" s="25">
        <f t="shared" si="55"/>
        <v>195290.5036835972</v>
      </c>
      <c r="BF110" s="20">
        <f t="shared" ref="BF110:BG125" si="64">H200</f>
        <v>755</v>
      </c>
      <c r="BG110" s="20">
        <f t="shared" si="64"/>
        <v>0</v>
      </c>
      <c r="BH110" s="25">
        <f>VLOOKUP(BF110,'Hazard Weighting Functions'!$B$5:$G$1205,4,FALSE)</f>
        <v>0.77600000000000002</v>
      </c>
      <c r="BI110" s="25">
        <f t="shared" si="57"/>
        <v>0</v>
      </c>
      <c r="BJ110" s="25">
        <f t="shared" si="58"/>
        <v>0</v>
      </c>
      <c r="BK110" s="1">
        <f t="shared" si="38"/>
        <v>555</v>
      </c>
      <c r="BL110" s="20">
        <f t="shared" si="38"/>
        <v>169348.28761217598</v>
      </c>
      <c r="BM110" s="25">
        <f>VLOOKUP(BK110,'Hazard Weighting Functions'!$B$5:$G$1205,4,FALSE)</f>
        <v>1</v>
      </c>
      <c r="BN110" s="25">
        <f t="shared" si="59"/>
        <v>169348.28761217598</v>
      </c>
      <c r="BO110" s="25">
        <f t="shared" si="34"/>
        <v>842406.2027863547</v>
      </c>
      <c r="BP110" s="20">
        <f t="shared" si="39"/>
        <v>462</v>
      </c>
      <c r="BQ110" s="20">
        <f t="shared" si="39"/>
        <v>143397.48333793564</v>
      </c>
      <c r="BR110" s="25">
        <f>VLOOKUP(BP110,'Hazard Weighting Functions'!$B$5:$G$1205,4,FALSE)</f>
        <v>7.5839106589999998</v>
      </c>
      <c r="BS110" s="25">
        <f t="shared" si="60"/>
        <v>1087513.7023603451</v>
      </c>
      <c r="BT110" s="25">
        <f t="shared" si="61"/>
        <v>1952905.0366925746</v>
      </c>
      <c r="BV110" s="25">
        <f>VLOOKUP(BK110,'Hazard Weighting Functions'!$B$5:$G$1205,5,FALSE)</f>
        <v>1</v>
      </c>
      <c r="BW110" s="25">
        <f t="shared" si="62"/>
        <v>169348.28761217598</v>
      </c>
      <c r="BX110" s="25">
        <f t="shared" si="63"/>
        <v>840311.025367575</v>
      </c>
    </row>
    <row r="111" spans="2:76">
      <c r="B111" s="25">
        <v>364</v>
      </c>
      <c r="C111" s="36">
        <v>8.5069434743654679E-2</v>
      </c>
      <c r="E111" s="25">
        <v>364</v>
      </c>
      <c r="F111" s="36"/>
      <c r="H111" s="25">
        <v>364</v>
      </c>
      <c r="I111" s="36"/>
      <c r="K111" s="25">
        <v>1410</v>
      </c>
      <c r="L111" s="36"/>
      <c r="N111" s="25">
        <v>560</v>
      </c>
      <c r="O111" s="36">
        <v>167614.1935023659</v>
      </c>
      <c r="Q111" s="25">
        <v>464</v>
      </c>
      <c r="R111" s="36">
        <v>120369.40467963983</v>
      </c>
      <c r="V111" s="25">
        <f t="shared" si="41"/>
        <v>364</v>
      </c>
      <c r="W111" s="25">
        <f t="shared" si="41"/>
        <v>8.5069434743654679E-2</v>
      </c>
      <c r="Y111" s="25">
        <f t="shared" si="42"/>
        <v>364</v>
      </c>
      <c r="Z111" s="25">
        <f t="shared" si="42"/>
        <v>8.5069434743654679E-2</v>
      </c>
      <c r="AA111" s="25">
        <f>VLOOKUP(Y111,'Hazard Weighting Functions'!$B$5:$G$1205,2,FALSE)</f>
        <v>1.1400000000000001E-4</v>
      </c>
      <c r="AB111" s="25">
        <f t="shared" si="43"/>
        <v>9.6979155607766331E-6</v>
      </c>
      <c r="AC111" s="25">
        <f t="shared" si="44"/>
        <v>2.0271445391824092E-5</v>
      </c>
      <c r="AD111" s="25">
        <f t="shared" si="36"/>
        <v>0.18481971616863072</v>
      </c>
      <c r="AE111" s="25">
        <f>VLOOKUP(Y111,'Hazard Weighting Functions'!$B$5:$G$1205,3,FALSE)</f>
        <v>0.01</v>
      </c>
      <c r="AF111" s="25">
        <f t="shared" si="45"/>
        <v>8.506943474365468E-4</v>
      </c>
      <c r="AG111" s="25">
        <f t="shared" si="46"/>
        <v>1.8481971616863073E-3</v>
      </c>
      <c r="AH111" s="25">
        <f>VLOOKUP(Y111,'Hazard Weighting Functions'!$B$5:$G$1205,5,FALSE)</f>
        <v>0</v>
      </c>
      <c r="AI111" s="25">
        <f t="shared" si="47"/>
        <v>0</v>
      </c>
      <c r="AJ111" s="25">
        <f t="shared" si="48"/>
        <v>0</v>
      </c>
      <c r="AP111" s="20">
        <f>'IEC_EN62471- LED non-GLS'!E161</f>
        <v>560</v>
      </c>
      <c r="AQ111" s="20">
        <f t="shared" si="49"/>
        <v>119.01191123517096</v>
      </c>
      <c r="AR111" s="25">
        <f>VLOOKUP(AP111,'Hazard Weighting Functions'!$B$5:$G$1205,3,FALSE)</f>
        <v>6.0000000000000001E-3</v>
      </c>
      <c r="AS111" s="25">
        <f t="shared" si="50"/>
        <v>0.71407146741102578</v>
      </c>
      <c r="AT111" s="25">
        <f t="shared" si="51"/>
        <v>3.2474622302351399</v>
      </c>
      <c r="AU111" s="20">
        <f t="shared" si="40"/>
        <v>560</v>
      </c>
      <c r="AV111" s="25">
        <f>O111</f>
        <v>167614.1935023659</v>
      </c>
      <c r="AW111" s="25">
        <f>VLOOKUP(AU111,'Hazard Weighting Functions'!$B$5:$G$1205,3,FALSE)</f>
        <v>6.0000000000000001E-3</v>
      </c>
      <c r="AX111" s="25">
        <f t="shared" si="52"/>
        <v>1005.6851610141954</v>
      </c>
      <c r="AY111" s="25">
        <f t="shared" si="53"/>
        <v>4593.6248451438141</v>
      </c>
      <c r="AZ111" s="20">
        <f t="shared" si="37"/>
        <v>464</v>
      </c>
      <c r="BA111" s="20">
        <f t="shared" si="37"/>
        <v>120369.40467963983</v>
      </c>
      <c r="BB111" s="25">
        <f>VLOOKUP(AZ111,'Hazard Weighting Functions'!$B$5:$G$1205,3,FALSE)</f>
        <v>0.71894626100000003</v>
      </c>
      <c r="BC111" s="25">
        <f t="shared" si="54"/>
        <v>86539.13343322296</v>
      </c>
      <c r="BD111" s="25">
        <f t="shared" si="55"/>
        <v>157522.83947960477</v>
      </c>
      <c r="BF111" s="20">
        <f t="shared" si="64"/>
        <v>760</v>
      </c>
      <c r="BG111" s="20">
        <f t="shared" si="64"/>
        <v>0</v>
      </c>
      <c r="BH111" s="25">
        <f>VLOOKUP(BF111,'Hazard Weighting Functions'!$B$5:$G$1205,4,FALSE)</f>
        <v>0.75900000000000001</v>
      </c>
      <c r="BI111" s="25">
        <f t="shared" si="57"/>
        <v>0</v>
      </c>
      <c r="BJ111" s="25">
        <f t="shared" si="58"/>
        <v>0</v>
      </c>
      <c r="BK111" s="1">
        <f t="shared" si="38"/>
        <v>560</v>
      </c>
      <c r="BL111" s="20">
        <f t="shared" si="38"/>
        <v>167614.1935023659</v>
      </c>
      <c r="BM111" s="25">
        <f>VLOOKUP(BK111,'Hazard Weighting Functions'!$B$5:$G$1205,4,FALSE)</f>
        <v>1</v>
      </c>
      <c r="BN111" s="25">
        <f t="shared" si="59"/>
        <v>167614.1935023659</v>
      </c>
      <c r="BO111" s="25">
        <f t="shared" si="34"/>
        <v>834917.87227757997</v>
      </c>
      <c r="BP111" s="20">
        <f t="shared" si="39"/>
        <v>464</v>
      </c>
      <c r="BQ111" s="20">
        <f t="shared" si="39"/>
        <v>120369.40467963983</v>
      </c>
      <c r="BR111" s="25">
        <f>VLOOKUP(BP111,'Hazard Weighting Functions'!$B$5:$G$1205,4,FALSE)</f>
        <v>7.1894626099999996</v>
      </c>
      <c r="BS111" s="25">
        <f t="shared" si="60"/>
        <v>865391.33433222957</v>
      </c>
      <c r="BT111" s="25">
        <f t="shared" si="61"/>
        <v>1575228.395003841</v>
      </c>
      <c r="BV111" s="25">
        <f>VLOOKUP(BK111,'Hazard Weighting Functions'!$B$5:$G$1205,5,FALSE)</f>
        <v>0.995</v>
      </c>
      <c r="BW111" s="25">
        <f t="shared" si="62"/>
        <v>166776.12253485408</v>
      </c>
      <c r="BX111" s="25">
        <f t="shared" si="63"/>
        <v>823922.81174443674</v>
      </c>
    </row>
    <row r="112" spans="2:76">
      <c r="B112" s="25">
        <v>366</v>
      </c>
      <c r="C112" s="36">
        <v>9.9750281424976037E-2</v>
      </c>
      <c r="E112" s="25">
        <v>366</v>
      </c>
      <c r="F112" s="36"/>
      <c r="H112" s="25">
        <v>366</v>
      </c>
      <c r="I112" s="36"/>
      <c r="K112" s="25">
        <v>1415</v>
      </c>
      <c r="L112" s="36"/>
      <c r="N112" s="25">
        <v>565</v>
      </c>
      <c r="O112" s="36">
        <v>166352.95540866608</v>
      </c>
      <c r="Q112" s="25">
        <v>466</v>
      </c>
      <c r="R112" s="36">
        <v>103896.7350909775</v>
      </c>
      <c r="V112" s="25">
        <f t="shared" si="41"/>
        <v>366</v>
      </c>
      <c r="W112" s="25">
        <f t="shared" si="41"/>
        <v>9.9750281424976037E-2</v>
      </c>
      <c r="Y112" s="25">
        <f t="shared" si="42"/>
        <v>366</v>
      </c>
      <c r="Z112" s="25">
        <f t="shared" si="42"/>
        <v>9.9750281424976037E-2</v>
      </c>
      <c r="AA112" s="25">
        <f>VLOOKUP(Y112,'Hazard Weighting Functions'!$B$5:$G$1205,2,FALSE)</f>
        <v>1.06E-4</v>
      </c>
      <c r="AB112" s="25">
        <f t="shared" si="43"/>
        <v>1.0573529831047459E-5</v>
      </c>
      <c r="AC112" s="25">
        <f t="shared" si="44"/>
        <v>2.0265396942855541E-5</v>
      </c>
      <c r="AD112" s="25">
        <f t="shared" si="36"/>
        <v>0.19764792901899705</v>
      </c>
      <c r="AE112" s="25">
        <f>VLOOKUP(Y112,'Hazard Weighting Functions'!$B$5:$G$1205,3,FALSE)</f>
        <v>0.01</v>
      </c>
      <c r="AF112" s="25">
        <f t="shared" si="45"/>
        <v>9.9750281424976044E-4</v>
      </c>
      <c r="AG112" s="25">
        <f t="shared" si="46"/>
        <v>1.9764792901899707E-3</v>
      </c>
      <c r="AH112" s="25">
        <f>VLOOKUP(Y112,'Hazard Weighting Functions'!$B$5:$G$1205,5,FALSE)</f>
        <v>0</v>
      </c>
      <c r="AI112" s="25">
        <f t="shared" si="47"/>
        <v>0</v>
      </c>
      <c r="AJ112" s="25">
        <f t="shared" si="48"/>
        <v>0</v>
      </c>
      <c r="AP112" s="20">
        <f>'IEC_EN62471- LED non-GLS'!E162</f>
        <v>565</v>
      </c>
      <c r="AQ112" s="20">
        <f t="shared" si="49"/>
        <v>116.98268493660605</v>
      </c>
      <c r="AR112" s="25">
        <f>VLOOKUP(AP112,'Hazard Weighting Functions'!$B$5:$G$1205,3,FALSE)</f>
        <v>5.0000000000000001E-3</v>
      </c>
      <c r="AS112" s="25">
        <f t="shared" si="50"/>
        <v>0.5849134246830302</v>
      </c>
      <c r="AT112" s="25">
        <f t="shared" si="51"/>
        <v>2.6125144607924304</v>
      </c>
      <c r="AU112" s="20">
        <f t="shared" si="40"/>
        <v>565</v>
      </c>
      <c r="AV112" s="25">
        <f>O112</f>
        <v>166352.95540866608</v>
      </c>
      <c r="AW112" s="25">
        <f>VLOOKUP(AU112,'Hazard Weighting Functions'!$B$5:$G$1205,3,FALSE)</f>
        <v>5.0000000000000001E-3</v>
      </c>
      <c r="AX112" s="25">
        <f t="shared" si="52"/>
        <v>831.76477704333047</v>
      </c>
      <c r="AY112" s="25">
        <f t="shared" si="53"/>
        <v>3706.4335027005964</v>
      </c>
      <c r="AZ112" s="20">
        <f t="shared" si="37"/>
        <v>466</v>
      </c>
      <c r="BA112" s="20">
        <f t="shared" si="37"/>
        <v>103896.7350909775</v>
      </c>
      <c r="BB112" s="25">
        <f>VLOOKUP(AZ112,'Hazard Weighting Functions'!$B$5:$G$1205,3,FALSE)</f>
        <v>0.68321401999999998</v>
      </c>
      <c r="BC112" s="25">
        <f t="shared" si="54"/>
        <v>70983.706046381805</v>
      </c>
      <c r="BD112" s="25">
        <f t="shared" si="55"/>
        <v>129512.08141129526</v>
      </c>
      <c r="BF112" s="20">
        <f t="shared" si="64"/>
        <v>765</v>
      </c>
      <c r="BG112" s="20">
        <f t="shared" si="64"/>
        <v>0</v>
      </c>
      <c r="BH112" s="25">
        <f>VLOOKUP(BF112,'Hazard Weighting Functions'!$B$5:$G$1205,4,FALSE)</f>
        <v>0.74099999999999999</v>
      </c>
      <c r="BI112" s="25">
        <f t="shared" si="57"/>
        <v>0</v>
      </c>
      <c r="BJ112" s="25">
        <f t="shared" si="58"/>
        <v>0</v>
      </c>
      <c r="BK112" s="1">
        <f t="shared" si="38"/>
        <v>565</v>
      </c>
      <c r="BL112" s="20">
        <f t="shared" si="38"/>
        <v>166352.95540866608</v>
      </c>
      <c r="BM112" s="25">
        <f>VLOOKUP(BK112,'Hazard Weighting Functions'!$B$5:$G$1205,4,FALSE)</f>
        <v>1</v>
      </c>
      <c r="BN112" s="25">
        <f t="shared" si="59"/>
        <v>166352.95540866608</v>
      </c>
      <c r="BO112" s="25">
        <f t="shared" si="34"/>
        <v>822637.77854473272</v>
      </c>
      <c r="BP112" s="20">
        <f t="shared" si="39"/>
        <v>466</v>
      </c>
      <c r="BQ112" s="20">
        <f t="shared" si="39"/>
        <v>103896.7350909775</v>
      </c>
      <c r="BR112" s="25">
        <f>VLOOKUP(BP112,'Hazard Weighting Functions'!$B$5:$G$1205,4,FALSE)</f>
        <v>6.8321402019999997</v>
      </c>
      <c r="BS112" s="25">
        <f t="shared" si="60"/>
        <v>709837.06067161146</v>
      </c>
      <c r="BT112" s="25">
        <f t="shared" si="61"/>
        <v>1295120.8143207459</v>
      </c>
      <c r="BV112" s="25">
        <f>VLOOKUP(BK112,'Hazard Weighting Functions'!$B$5:$G$1205,5,FALSE)</f>
        <v>0.97860000000000003</v>
      </c>
      <c r="BW112" s="25">
        <f t="shared" si="62"/>
        <v>162793.00216292063</v>
      </c>
      <c r="BX112" s="25">
        <f t="shared" si="63"/>
        <v>794213.63670926192</v>
      </c>
    </row>
    <row r="113" spans="2:76">
      <c r="B113" s="25">
        <v>368</v>
      </c>
      <c r="C113" s="36">
        <v>9.7897647594021017E-2</v>
      </c>
      <c r="E113" s="25">
        <v>368</v>
      </c>
      <c r="F113" s="36"/>
      <c r="H113" s="25">
        <v>368</v>
      </c>
      <c r="I113" s="36"/>
      <c r="K113" s="25">
        <v>1420</v>
      </c>
      <c r="L113" s="36"/>
      <c r="N113" s="25">
        <v>570</v>
      </c>
      <c r="O113" s="36">
        <v>162702.15600922701</v>
      </c>
      <c r="Q113" s="25">
        <v>468</v>
      </c>
      <c r="R113" s="36">
        <v>89927.44186618505</v>
      </c>
      <c r="V113" s="25">
        <f t="shared" si="41"/>
        <v>368</v>
      </c>
      <c r="W113" s="25">
        <f t="shared" si="41"/>
        <v>9.7897647594021017E-2</v>
      </c>
      <c r="Y113" s="25">
        <f t="shared" si="42"/>
        <v>368</v>
      </c>
      <c r="Z113" s="25">
        <f t="shared" si="42"/>
        <v>9.7897647594021017E-2</v>
      </c>
      <c r="AA113" s="25">
        <f>VLOOKUP(Y113,'Hazard Weighting Functions'!$B$5:$G$1205,2,FALSE)</f>
        <v>9.8999999999999994E-5</v>
      </c>
      <c r="AB113" s="25">
        <f t="shared" si="43"/>
        <v>9.6918671118080806E-6</v>
      </c>
      <c r="AC113" s="25">
        <f t="shared" si="44"/>
        <v>1.936668603573588E-5</v>
      </c>
      <c r="AD113" s="25">
        <f t="shared" si="36"/>
        <v>0.20192795860399734</v>
      </c>
      <c r="AE113" s="25">
        <f>VLOOKUP(Y113,'Hazard Weighting Functions'!$B$5:$G$1205,3,FALSE)</f>
        <v>0.01</v>
      </c>
      <c r="AF113" s="25">
        <f t="shared" si="45"/>
        <v>9.7897647594021009E-4</v>
      </c>
      <c r="AG113" s="25">
        <f t="shared" si="46"/>
        <v>2.0192795860399732E-3</v>
      </c>
      <c r="AH113" s="25">
        <f>VLOOKUP(Y113,'Hazard Weighting Functions'!$B$5:$G$1205,5,FALSE)</f>
        <v>0</v>
      </c>
      <c r="AI113" s="25">
        <f t="shared" si="47"/>
        <v>0</v>
      </c>
      <c r="AJ113" s="25">
        <f t="shared" si="48"/>
        <v>0</v>
      </c>
      <c r="AP113" s="20">
        <f>'IEC_EN62471- LED non-GLS'!E163</f>
        <v>570</v>
      </c>
      <c r="AQ113" s="20">
        <f t="shared" si="49"/>
        <v>115.0230899084855</v>
      </c>
      <c r="AR113" s="25">
        <f>VLOOKUP(AP113,'Hazard Weighting Functions'!$B$5:$G$1205,3,FALSE)</f>
        <v>4.0000000000000001E-3</v>
      </c>
      <c r="AS113" s="25">
        <f t="shared" si="50"/>
        <v>0.46009235963394202</v>
      </c>
      <c r="AT113" s="25">
        <f t="shared" si="51"/>
        <v>1.9838885836642752</v>
      </c>
      <c r="AU113" s="20">
        <f t="shared" si="40"/>
        <v>570</v>
      </c>
      <c r="AV113" s="25">
        <f>O113</f>
        <v>162702.15600922701</v>
      </c>
      <c r="AW113" s="25">
        <f>VLOOKUP(AU113,'Hazard Weighting Functions'!$B$5:$G$1205,3,FALSE)</f>
        <v>4.0000000000000001E-3</v>
      </c>
      <c r="AX113" s="25">
        <f t="shared" si="52"/>
        <v>650.8086240369081</v>
      </c>
      <c r="AY113" s="25">
        <f t="shared" si="53"/>
        <v>2827.9013605997161</v>
      </c>
      <c r="AZ113" s="20">
        <f t="shared" si="37"/>
        <v>468</v>
      </c>
      <c r="BA113" s="20">
        <f t="shared" si="37"/>
        <v>89927.44186618505</v>
      </c>
      <c r="BB113" s="25">
        <f>VLOOKUP(AZ113,'Hazard Weighting Functions'!$B$5:$G$1205,3,FALSE)</f>
        <v>0.65083999000000003</v>
      </c>
      <c r="BC113" s="25">
        <f t="shared" si="54"/>
        <v>58528.37536491346</v>
      </c>
      <c r="BD113" s="25">
        <f t="shared" si="55"/>
        <v>106586.55601423523</v>
      </c>
      <c r="BF113" s="20">
        <f t="shared" si="64"/>
        <v>770</v>
      </c>
      <c r="BG113" s="20">
        <f t="shared" si="64"/>
        <v>0</v>
      </c>
      <c r="BH113" s="25">
        <f>VLOOKUP(BF113,'Hazard Weighting Functions'!$B$5:$G$1205,4,FALSE)</f>
        <v>0.72399999999999998</v>
      </c>
      <c r="BI113" s="25">
        <f t="shared" si="57"/>
        <v>0</v>
      </c>
      <c r="BJ113" s="25">
        <f t="shared" si="58"/>
        <v>0</v>
      </c>
      <c r="BK113" s="1">
        <f t="shared" si="38"/>
        <v>570</v>
      </c>
      <c r="BL113" s="20">
        <f t="shared" si="38"/>
        <v>162702.15600922701</v>
      </c>
      <c r="BM113" s="25">
        <f>VLOOKUP(BK113,'Hazard Weighting Functions'!$B$5:$G$1205,4,FALSE)</f>
        <v>1</v>
      </c>
      <c r="BN113" s="25">
        <f t="shared" si="59"/>
        <v>162702.15600922701</v>
      </c>
      <c r="BO113" s="25">
        <f t="shared" si="34"/>
        <v>807048.65685888275</v>
      </c>
      <c r="BP113" s="20">
        <f t="shared" si="39"/>
        <v>468</v>
      </c>
      <c r="BQ113" s="20">
        <f t="shared" si="39"/>
        <v>89927.44186618505</v>
      </c>
      <c r="BR113" s="25">
        <f>VLOOKUP(BP113,'Hazard Weighting Functions'!$B$5:$G$1205,4,FALSE)</f>
        <v>6.5083998999999997</v>
      </c>
      <c r="BS113" s="25">
        <f t="shared" si="60"/>
        <v>585283.75364913454</v>
      </c>
      <c r="BT113" s="25">
        <f t="shared" si="61"/>
        <v>1065865.5601423522</v>
      </c>
      <c r="BV113" s="25">
        <f>VLOOKUP(BK113,'Hazard Weighting Functions'!$B$5:$G$1205,5,FALSE)</f>
        <v>0.95199999999999996</v>
      </c>
      <c r="BW113" s="25">
        <f t="shared" si="62"/>
        <v>154892.45252078411</v>
      </c>
      <c r="BX113" s="25">
        <f t="shared" si="63"/>
        <v>753659.58776346548</v>
      </c>
    </row>
    <row r="114" spans="2:76">
      <c r="B114" s="25">
        <v>370</v>
      </c>
      <c r="C114" s="36">
        <v>0.10403031100997633</v>
      </c>
      <c r="E114" s="25">
        <v>370</v>
      </c>
      <c r="F114" s="36"/>
      <c r="H114" s="25">
        <v>370</v>
      </c>
      <c r="I114" s="36"/>
      <c r="K114" s="25">
        <v>1425</v>
      </c>
      <c r="L114" s="36"/>
      <c r="N114" s="25">
        <v>575</v>
      </c>
      <c r="O114" s="36">
        <v>160117.30673432612</v>
      </c>
      <c r="Q114" s="25">
        <v>470</v>
      </c>
      <c r="R114" s="36">
        <v>77513.194595680281</v>
      </c>
      <c r="V114" s="25">
        <f t="shared" si="41"/>
        <v>370</v>
      </c>
      <c r="W114" s="25">
        <f t="shared" si="41"/>
        <v>0.10403031100997633</v>
      </c>
      <c r="Y114" s="25">
        <f t="shared" si="42"/>
        <v>370</v>
      </c>
      <c r="Z114" s="25">
        <f t="shared" si="42"/>
        <v>0.10403031100997633</v>
      </c>
      <c r="AA114" s="25">
        <f>VLOOKUP(Y114,'Hazard Weighting Functions'!$B$5:$G$1205,2,FALSE)</f>
        <v>9.2999999999999997E-5</v>
      </c>
      <c r="AB114" s="25">
        <f t="shared" si="43"/>
        <v>9.6748189239277978E-6</v>
      </c>
      <c r="AC114" s="25">
        <f t="shared" si="44"/>
        <v>1.8271063413905801E-5</v>
      </c>
      <c r="AD114" s="25">
        <f t="shared" si="36"/>
        <v>0.20398664228879032</v>
      </c>
      <c r="AE114" s="25">
        <f>VLOOKUP(Y114,'Hazard Weighting Functions'!$B$5:$G$1205,3,FALSE)</f>
        <v>0.01</v>
      </c>
      <c r="AF114" s="25">
        <f t="shared" si="45"/>
        <v>1.0403031100997633E-3</v>
      </c>
      <c r="AG114" s="25">
        <f t="shared" si="46"/>
        <v>2.0398664228879031E-3</v>
      </c>
      <c r="AH114" s="25">
        <f>VLOOKUP(Y114,'Hazard Weighting Functions'!$B$5:$G$1205,5,FALSE)</f>
        <v>0</v>
      </c>
      <c r="AI114" s="25">
        <f t="shared" si="47"/>
        <v>0</v>
      </c>
      <c r="AJ114" s="25">
        <f t="shared" si="48"/>
        <v>0</v>
      </c>
      <c r="AP114" s="20">
        <f>'IEC_EN62471- LED non-GLS'!E164</f>
        <v>575</v>
      </c>
      <c r="AQ114" s="20">
        <f t="shared" si="49"/>
        <v>111.1543579439227</v>
      </c>
      <c r="AR114" s="25">
        <f>VLOOKUP(AP114,'Hazard Weighting Functions'!$B$5:$G$1205,3,FALSE)</f>
        <v>3.0000000000000001E-3</v>
      </c>
      <c r="AS114" s="25">
        <f t="shared" si="50"/>
        <v>0.3334630738317681</v>
      </c>
      <c r="AT114" s="25">
        <f t="shared" si="51"/>
        <v>1.3754182528759342</v>
      </c>
      <c r="AU114" s="20">
        <f t="shared" si="40"/>
        <v>575</v>
      </c>
      <c r="AV114" s="25">
        <f>O114</f>
        <v>160117.30673432612</v>
      </c>
      <c r="AW114" s="25">
        <f>VLOOKUP(AU114,'Hazard Weighting Functions'!$B$5:$G$1205,3,FALSE)</f>
        <v>3.0000000000000001E-3</v>
      </c>
      <c r="AX114" s="25">
        <f t="shared" si="52"/>
        <v>480.35192020297836</v>
      </c>
      <c r="AY114" s="25">
        <f t="shared" si="53"/>
        <v>1975.2652027496702</v>
      </c>
      <c r="AZ114" s="20">
        <f t="shared" si="37"/>
        <v>470</v>
      </c>
      <c r="BA114" s="20">
        <f t="shared" si="37"/>
        <v>77513.194595680281</v>
      </c>
      <c r="BB114" s="25">
        <f>VLOOKUP(AZ114,'Hazard Weighting Functions'!$B$5:$G$1205,3,FALSE)</f>
        <v>0.62</v>
      </c>
      <c r="BC114" s="25">
        <f t="shared" si="54"/>
        <v>48058.180649321774</v>
      </c>
      <c r="BD114" s="25">
        <f t="shared" si="55"/>
        <v>87191.182791012106</v>
      </c>
      <c r="BF114" s="20">
        <f t="shared" si="64"/>
        <v>775</v>
      </c>
      <c r="BG114" s="20">
        <f t="shared" si="64"/>
        <v>0</v>
      </c>
      <c r="BH114" s="25">
        <f>VLOOKUP(BF114,'Hazard Weighting Functions'!$B$5:$G$1205,4,FALSE)</f>
        <v>0.70799999999999996</v>
      </c>
      <c r="BI114" s="25">
        <f t="shared" si="57"/>
        <v>0</v>
      </c>
      <c r="BJ114" s="25">
        <f t="shared" si="58"/>
        <v>0</v>
      </c>
      <c r="BK114" s="1">
        <f t="shared" si="38"/>
        <v>575</v>
      </c>
      <c r="BL114" s="20">
        <f t="shared" si="38"/>
        <v>160117.30673432612</v>
      </c>
      <c r="BM114" s="25">
        <f>VLOOKUP(BK114,'Hazard Weighting Functions'!$B$5:$G$1205,4,FALSE)</f>
        <v>1</v>
      </c>
      <c r="BN114" s="25">
        <f t="shared" si="59"/>
        <v>160117.30673432612</v>
      </c>
      <c r="BO114" s="25">
        <f t="shared" si="34"/>
        <v>787485.96795692749</v>
      </c>
      <c r="BP114" s="20">
        <f t="shared" si="39"/>
        <v>470</v>
      </c>
      <c r="BQ114" s="20">
        <f t="shared" si="39"/>
        <v>77513.194595680281</v>
      </c>
      <c r="BR114" s="25">
        <f>VLOOKUP(BP114,'Hazard Weighting Functions'!$B$5:$G$1205,4,FALSE)</f>
        <v>6.2</v>
      </c>
      <c r="BS114" s="25">
        <f t="shared" si="60"/>
        <v>480581.80649321777</v>
      </c>
      <c r="BT114" s="25">
        <f t="shared" si="61"/>
        <v>871911.8277114731</v>
      </c>
      <c r="BV114" s="25">
        <f>VLOOKUP(BK114,'Hazard Weighting Functions'!$B$5:$G$1205,5,FALSE)</f>
        <v>0.91539999999999999</v>
      </c>
      <c r="BW114" s="25">
        <f t="shared" si="62"/>
        <v>146571.38258460214</v>
      </c>
      <c r="BX114" s="25">
        <f t="shared" si="63"/>
        <v>703286.10643687285</v>
      </c>
    </row>
    <row r="115" spans="2:76">
      <c r="B115" s="25">
        <v>372</v>
      </c>
      <c r="C115" s="36">
        <v>9.9956331278813981E-2</v>
      </c>
      <c r="E115" s="25">
        <v>372</v>
      </c>
      <c r="F115" s="36"/>
      <c r="H115" s="25">
        <v>372</v>
      </c>
      <c r="I115" s="36"/>
      <c r="K115" s="25">
        <v>1430</v>
      </c>
      <c r="L115" s="36"/>
      <c r="N115" s="25">
        <v>580</v>
      </c>
      <c r="O115" s="36">
        <v>154877.08044844485</v>
      </c>
      <c r="Q115" s="25">
        <v>472</v>
      </c>
      <c r="R115" s="36">
        <v>66216.020545558349</v>
      </c>
      <c r="V115" s="25">
        <f t="shared" si="41"/>
        <v>372</v>
      </c>
      <c r="W115" s="25">
        <f t="shared" si="41"/>
        <v>9.9956331278813981E-2</v>
      </c>
      <c r="Y115" s="25">
        <f t="shared" si="42"/>
        <v>372</v>
      </c>
      <c r="Z115" s="25">
        <f t="shared" si="42"/>
        <v>9.9956331278813981E-2</v>
      </c>
      <c r="AA115" s="25">
        <f>VLOOKUP(Y115,'Hazard Weighting Functions'!$B$5:$G$1205,2,FALSE)</f>
        <v>8.6000000000000003E-5</v>
      </c>
      <c r="AB115" s="25">
        <f t="shared" si="43"/>
        <v>8.5962444899780019E-6</v>
      </c>
      <c r="AC115" s="25">
        <f t="shared" si="44"/>
        <v>1.5367428773976699E-5</v>
      </c>
      <c r="AD115" s="25">
        <f t="shared" si="36"/>
        <v>0.18459613482879769</v>
      </c>
      <c r="AE115" s="25">
        <f>VLOOKUP(Y115,'Hazard Weighting Functions'!$B$5:$G$1205,3,FALSE)</f>
        <v>0.01</v>
      </c>
      <c r="AF115" s="25">
        <f t="shared" si="45"/>
        <v>9.9956331278813976E-4</v>
      </c>
      <c r="AG115" s="25">
        <f t="shared" si="46"/>
        <v>1.8459613482879769E-3</v>
      </c>
      <c r="AH115" s="25">
        <f>VLOOKUP(Y115,'Hazard Weighting Functions'!$B$5:$G$1205,5,FALSE)</f>
        <v>0</v>
      </c>
      <c r="AI115" s="25">
        <f t="shared" si="47"/>
        <v>0</v>
      </c>
      <c r="AJ115" s="25">
        <f t="shared" si="48"/>
        <v>0</v>
      </c>
      <c r="AP115" s="20">
        <f>'IEC_EN62471- LED non-GLS'!E165</f>
        <v>580</v>
      </c>
      <c r="AQ115" s="20">
        <f t="shared" si="49"/>
        <v>108.35211365930279</v>
      </c>
      <c r="AR115" s="25">
        <f>VLOOKUP(AP115,'Hazard Weighting Functions'!$B$5:$G$1205,3,FALSE)</f>
        <v>2E-3</v>
      </c>
      <c r="AS115" s="25">
        <f t="shared" si="50"/>
        <v>0.21670422731860559</v>
      </c>
      <c r="AT115" s="25">
        <f t="shared" si="51"/>
        <v>0.80329399838936855</v>
      </c>
      <c r="AU115" s="20">
        <f t="shared" si="40"/>
        <v>580</v>
      </c>
      <c r="AV115" s="25">
        <f>O115</f>
        <v>154877.08044844485</v>
      </c>
      <c r="AW115" s="25">
        <f>VLOOKUP(AU115,'Hazard Weighting Functions'!$B$5:$G$1205,3,FALSE)</f>
        <v>2E-3</v>
      </c>
      <c r="AX115" s="25">
        <f t="shared" si="52"/>
        <v>309.75416089688969</v>
      </c>
      <c r="AY115" s="25">
        <f t="shared" si="53"/>
        <v>1150.3897068748122</v>
      </c>
      <c r="AZ115" s="20">
        <f t="shared" si="37"/>
        <v>472</v>
      </c>
      <c r="BA115" s="20">
        <f t="shared" si="37"/>
        <v>66216.020545558349</v>
      </c>
      <c r="BB115" s="25">
        <f>VLOOKUP(AZ115,'Hazard Weighting Functions'!$B$5:$G$1205,3,FALSE)</f>
        <v>0.59098994199999999</v>
      </c>
      <c r="BC115" s="25">
        <f t="shared" si="54"/>
        <v>39133.00214169034</v>
      </c>
      <c r="BD115" s="25">
        <f t="shared" si="55"/>
        <v>71206.00917927589</v>
      </c>
      <c r="BF115" s="20">
        <f t="shared" si="64"/>
        <v>780</v>
      </c>
      <c r="BG115" s="20">
        <f t="shared" si="64"/>
        <v>0</v>
      </c>
      <c r="BH115" s="25">
        <f>VLOOKUP(BF115,'Hazard Weighting Functions'!$B$5:$G$1205,4,FALSE)</f>
        <v>0.69199999999999995</v>
      </c>
      <c r="BI115" s="25">
        <f t="shared" si="57"/>
        <v>0</v>
      </c>
      <c r="BJ115" s="25">
        <f t="shared" si="58"/>
        <v>0</v>
      </c>
      <c r="BK115" s="1">
        <f t="shared" si="38"/>
        <v>580</v>
      </c>
      <c r="BL115" s="20">
        <f t="shared" si="38"/>
        <v>154877.08044844485</v>
      </c>
      <c r="BM115" s="25">
        <f>VLOOKUP(BK115,'Hazard Weighting Functions'!$B$5:$G$1205,4,FALSE)</f>
        <v>1</v>
      </c>
      <c r="BN115" s="25">
        <f t="shared" si="59"/>
        <v>154877.08044844485</v>
      </c>
      <c r="BO115" s="25">
        <f t="shared" si="34"/>
        <v>763197.00575370016</v>
      </c>
      <c r="BP115" s="20">
        <f t="shared" si="39"/>
        <v>472</v>
      </c>
      <c r="BQ115" s="20">
        <f t="shared" si="39"/>
        <v>66216.020545558349</v>
      </c>
      <c r="BR115" s="25">
        <f>VLOOKUP(BP115,'Hazard Weighting Functions'!$B$5:$G$1205,4,FALSE)</f>
        <v>5.9098994170000001</v>
      </c>
      <c r="BS115" s="25">
        <f t="shared" si="60"/>
        <v>391330.02121825534</v>
      </c>
      <c r="BT115" s="25">
        <f t="shared" si="61"/>
        <v>712060.09165104479</v>
      </c>
      <c r="BV115" s="25">
        <f>VLOOKUP(BK115,'Hazard Weighting Functions'!$B$5:$G$1205,5,FALSE)</f>
        <v>0.87</v>
      </c>
      <c r="BW115" s="25">
        <f t="shared" si="62"/>
        <v>134743.05999014701</v>
      </c>
      <c r="BX115" s="25">
        <f t="shared" si="63"/>
        <v>643789.96384694928</v>
      </c>
    </row>
    <row r="116" spans="2:76">
      <c r="B116" s="25">
        <v>374</v>
      </c>
      <c r="C116" s="36">
        <v>8.4639803549983711E-2</v>
      </c>
      <c r="E116" s="25">
        <v>374</v>
      </c>
      <c r="F116" s="36"/>
      <c r="H116" s="25">
        <v>374</v>
      </c>
      <c r="I116" s="36"/>
      <c r="K116" s="25">
        <v>1435</v>
      </c>
      <c r="L116" s="36"/>
      <c r="N116" s="25">
        <v>585</v>
      </c>
      <c r="O116" s="36">
        <v>150401.72185303524</v>
      </c>
      <c r="Q116" s="25">
        <v>474</v>
      </c>
      <c r="R116" s="36">
        <v>56933.933549225214</v>
      </c>
      <c r="V116" s="25">
        <f t="shared" si="41"/>
        <v>374</v>
      </c>
      <c r="W116" s="25">
        <f t="shared" si="41"/>
        <v>8.4639803549983711E-2</v>
      </c>
      <c r="Y116" s="25">
        <f t="shared" si="42"/>
        <v>374</v>
      </c>
      <c r="Z116" s="25">
        <f t="shared" si="42"/>
        <v>8.4639803549983711E-2</v>
      </c>
      <c r="AA116" s="25">
        <f>VLOOKUP(Y116,'Hazard Weighting Functions'!$B$5:$G$1205,2,FALSE)</f>
        <v>8.0000000000000007E-5</v>
      </c>
      <c r="AB116" s="25">
        <f t="shared" si="43"/>
        <v>6.7711842839986971E-6</v>
      </c>
      <c r="AC116" s="25">
        <f t="shared" si="44"/>
        <v>1.3631699324942795E-5</v>
      </c>
      <c r="AD116" s="25">
        <f t="shared" si="36"/>
        <v>0.17734946626544451</v>
      </c>
      <c r="AE116" s="25">
        <f>VLOOKUP(Y116,'Hazard Weighting Functions'!$B$5:$G$1205,3,FALSE)</f>
        <v>0.01</v>
      </c>
      <c r="AF116" s="25">
        <f t="shared" si="45"/>
        <v>8.4639803549983717E-4</v>
      </c>
      <c r="AG116" s="25">
        <f t="shared" si="46"/>
        <v>1.773494662654445E-3</v>
      </c>
      <c r="AH116" s="25">
        <f>VLOOKUP(Y116,'Hazard Weighting Functions'!$B$5:$G$1205,5,FALSE)</f>
        <v>0</v>
      </c>
      <c r="AI116" s="25">
        <f t="shared" si="47"/>
        <v>0</v>
      </c>
      <c r="AJ116" s="25">
        <f t="shared" si="48"/>
        <v>0</v>
      </c>
      <c r="AP116" s="20">
        <f>'IEC_EN62471- LED non-GLS'!E166</f>
        <v>585</v>
      </c>
      <c r="AQ116" s="20">
        <f t="shared" si="49"/>
        <v>104.61337203714186</v>
      </c>
      <c r="AR116" s="25">
        <f>VLOOKUP(AP116,'Hazard Weighting Functions'!$B$5:$G$1205,3,FALSE)</f>
        <v>1E-3</v>
      </c>
      <c r="AS116" s="25">
        <f t="shared" si="50"/>
        <v>0.10461337203714186</v>
      </c>
      <c r="AT116" s="25">
        <f t="shared" si="51"/>
        <v>0.51283841731479485</v>
      </c>
      <c r="AU116" s="20">
        <f t="shared" si="40"/>
        <v>585</v>
      </c>
      <c r="AV116" s="25">
        <f>O116</f>
        <v>150401.72185303524</v>
      </c>
      <c r="AW116" s="25">
        <f>VLOOKUP(AU116,'Hazard Weighting Functions'!$B$5:$G$1205,3,FALSE)</f>
        <v>1E-3</v>
      </c>
      <c r="AX116" s="25">
        <f t="shared" si="52"/>
        <v>150.40172185303524</v>
      </c>
      <c r="AY116" s="25">
        <f t="shared" si="53"/>
        <v>736.55975685846772</v>
      </c>
      <c r="AZ116" s="20">
        <f t="shared" si="37"/>
        <v>474</v>
      </c>
      <c r="BA116" s="20">
        <f t="shared" si="37"/>
        <v>56933.933549225214</v>
      </c>
      <c r="BB116" s="25">
        <f>VLOOKUP(AZ116,'Hazard Weighting Functions'!$B$5:$G$1205,3,FALSE)</f>
        <v>0.56333727600000005</v>
      </c>
      <c r="BC116" s="25">
        <f t="shared" si="54"/>
        <v>32073.007037585547</v>
      </c>
      <c r="BD116" s="25">
        <f t="shared" si="55"/>
        <v>58326.626246075357</v>
      </c>
      <c r="BF116" s="20">
        <f t="shared" si="64"/>
        <v>785</v>
      </c>
      <c r="BG116" s="20">
        <f t="shared" si="64"/>
        <v>0</v>
      </c>
      <c r="BH116" s="25">
        <f>VLOOKUP(BF116,'Hazard Weighting Functions'!$B$5:$G$1205,4,FALSE)</f>
        <v>0.67600000000000005</v>
      </c>
      <c r="BI116" s="25">
        <f t="shared" si="57"/>
        <v>0</v>
      </c>
      <c r="BJ116" s="25">
        <f t="shared" si="58"/>
        <v>0</v>
      </c>
      <c r="BK116" s="1">
        <f t="shared" si="38"/>
        <v>585</v>
      </c>
      <c r="BL116" s="20">
        <f t="shared" si="38"/>
        <v>150401.72185303524</v>
      </c>
      <c r="BM116" s="25">
        <f>VLOOKUP(BK116,'Hazard Weighting Functions'!$B$5:$G$1205,4,FALSE)</f>
        <v>1</v>
      </c>
      <c r="BN116" s="25">
        <f t="shared" si="59"/>
        <v>150401.72185303524</v>
      </c>
      <c r="BO116" s="25">
        <f t="shared" si="34"/>
        <v>736559.75685846759</v>
      </c>
      <c r="BP116" s="20">
        <f t="shared" si="39"/>
        <v>474</v>
      </c>
      <c r="BQ116" s="20">
        <f t="shared" si="39"/>
        <v>56933.933549225214</v>
      </c>
      <c r="BR116" s="25">
        <f>VLOOKUP(BP116,'Hazard Weighting Functions'!$B$5:$G$1205,4,FALSE)</f>
        <v>5.6333727610000004</v>
      </c>
      <c r="BS116" s="25">
        <f t="shared" si="60"/>
        <v>320730.07043278939</v>
      </c>
      <c r="BT116" s="25">
        <f t="shared" si="61"/>
        <v>583266.26231893315</v>
      </c>
      <c r="BV116" s="25">
        <f>VLOOKUP(BK116,'Hazard Weighting Functions'!$B$5:$G$1205,5,FALSE)</f>
        <v>0.81630000000000003</v>
      </c>
      <c r="BW116" s="25">
        <f t="shared" si="62"/>
        <v>122772.92554863267</v>
      </c>
      <c r="BX116" s="25">
        <f t="shared" si="63"/>
        <v>579872.79120657255</v>
      </c>
    </row>
    <row r="117" spans="2:76">
      <c r="B117" s="25">
        <v>376</v>
      </c>
      <c r="C117" s="36">
        <v>9.2709662715460786E-2</v>
      </c>
      <c r="E117" s="25">
        <v>376</v>
      </c>
      <c r="F117" s="36"/>
      <c r="H117" s="25">
        <v>376</v>
      </c>
      <c r="I117" s="36"/>
      <c r="K117" s="25">
        <v>1440</v>
      </c>
      <c r="L117" s="36"/>
      <c r="N117" s="25">
        <v>590</v>
      </c>
      <c r="O117" s="36">
        <v>144222.18089035182</v>
      </c>
      <c r="Q117" s="25">
        <v>476</v>
      </c>
      <c r="R117" s="36">
        <v>49688.573302760356</v>
      </c>
      <c r="V117" s="25">
        <f t="shared" si="41"/>
        <v>376</v>
      </c>
      <c r="W117" s="25">
        <f t="shared" si="41"/>
        <v>9.2709662715460786E-2</v>
      </c>
      <c r="Y117" s="25">
        <f t="shared" si="42"/>
        <v>376</v>
      </c>
      <c r="Z117" s="25">
        <f t="shared" si="42"/>
        <v>9.2709662715460786E-2</v>
      </c>
      <c r="AA117" s="25">
        <f>VLOOKUP(Y117,'Hazard Weighting Functions'!$B$5:$G$1205,2,FALSE)</f>
        <v>7.3999999999999996E-5</v>
      </c>
      <c r="AB117" s="25">
        <f t="shared" si="43"/>
        <v>6.860515040944098E-6</v>
      </c>
      <c r="AC117" s="25">
        <f t="shared" si="44"/>
        <v>1.4696248443147754E-5</v>
      </c>
      <c r="AD117" s="25">
        <f t="shared" si="36"/>
        <v>0.20627101637058626</v>
      </c>
      <c r="AE117" s="25">
        <f>VLOOKUP(Y117,'Hazard Weighting Functions'!$B$5:$G$1205,3,FALSE)</f>
        <v>0.01</v>
      </c>
      <c r="AF117" s="25">
        <f t="shared" si="45"/>
        <v>9.2709662715460784E-4</v>
      </c>
      <c r="AG117" s="25">
        <f t="shared" si="46"/>
        <v>2.0627101637058628E-3</v>
      </c>
      <c r="AH117" s="25">
        <f>VLOOKUP(Y117,'Hazard Weighting Functions'!$B$5:$G$1205,5,FALSE)</f>
        <v>0</v>
      </c>
      <c r="AI117" s="25">
        <f t="shared" si="47"/>
        <v>0</v>
      </c>
      <c r="AJ117" s="25">
        <f t="shared" si="48"/>
        <v>0</v>
      </c>
      <c r="AP117" s="20">
        <f>'IEC_EN62471- LED non-GLS'!E167</f>
        <v>590</v>
      </c>
      <c r="AQ117" s="20">
        <f t="shared" si="49"/>
        <v>100.52199488877608</v>
      </c>
      <c r="AR117" s="25">
        <f>VLOOKUP(AP117,'Hazard Weighting Functions'!$B$5:$G$1205,3,FALSE)</f>
        <v>1E-3</v>
      </c>
      <c r="AS117" s="25">
        <f t="shared" si="50"/>
        <v>0.10052199488877608</v>
      </c>
      <c r="AT117" s="25">
        <f t="shared" si="51"/>
        <v>0.49187203204277785</v>
      </c>
      <c r="AU117" s="20">
        <f t="shared" si="40"/>
        <v>590</v>
      </c>
      <c r="AV117" s="25">
        <f>O117</f>
        <v>144222.18089035182</v>
      </c>
      <c r="AW117" s="25">
        <f>VLOOKUP(AU117,'Hazard Weighting Functions'!$B$5:$G$1205,3,FALSE)</f>
        <v>1E-3</v>
      </c>
      <c r="AX117" s="25">
        <f t="shared" si="52"/>
        <v>144.22218089035184</v>
      </c>
      <c r="AY117" s="25">
        <f t="shared" si="53"/>
        <v>703.47184835341125</v>
      </c>
      <c r="AZ117" s="20">
        <f t="shared" si="37"/>
        <v>476</v>
      </c>
      <c r="BA117" s="20">
        <f t="shared" si="37"/>
        <v>49688.573302760356</v>
      </c>
      <c r="BB117" s="25">
        <f>VLOOKUP(AZ117,'Hazard Weighting Functions'!$B$5:$G$1205,3,FALSE)</f>
        <v>0.52836331299999995</v>
      </c>
      <c r="BC117" s="25">
        <f t="shared" si="54"/>
        <v>26253.61920848981</v>
      </c>
      <c r="BD117" s="25">
        <f t="shared" si="55"/>
        <v>48070.046005588476</v>
      </c>
      <c r="BF117" s="20">
        <f t="shared" si="64"/>
        <v>790</v>
      </c>
      <c r="BG117" s="20">
        <f t="shared" si="64"/>
        <v>0</v>
      </c>
      <c r="BH117" s="25">
        <f>VLOOKUP(BF117,'Hazard Weighting Functions'!$B$5:$G$1205,4,FALSE)</f>
        <v>0.66100000000000003</v>
      </c>
      <c r="BI117" s="25">
        <f t="shared" si="57"/>
        <v>0</v>
      </c>
      <c r="BJ117" s="25">
        <f t="shared" si="58"/>
        <v>0</v>
      </c>
      <c r="BK117" s="1">
        <f t="shared" si="38"/>
        <v>590</v>
      </c>
      <c r="BL117" s="20">
        <f t="shared" si="38"/>
        <v>144222.18089035182</v>
      </c>
      <c r="BM117" s="25">
        <f>VLOOKUP(BK117,'Hazard Weighting Functions'!$B$5:$G$1205,4,FALSE)</f>
        <v>1</v>
      </c>
      <c r="BN117" s="25">
        <f t="shared" si="59"/>
        <v>144222.18089035182</v>
      </c>
      <c r="BO117" s="25">
        <f t="shared" si="34"/>
        <v>703471.84835341119</v>
      </c>
      <c r="BP117" s="20">
        <f t="shared" si="39"/>
        <v>476</v>
      </c>
      <c r="BQ117" s="20">
        <f t="shared" si="39"/>
        <v>49688.573302760356</v>
      </c>
      <c r="BR117" s="25">
        <f>VLOOKUP(BP117,'Hazard Weighting Functions'!$B$5:$G$1205,4,FALSE)</f>
        <v>5.2836331259999998</v>
      </c>
      <c r="BS117" s="25">
        <f t="shared" si="60"/>
        <v>262536.19188614382</v>
      </c>
      <c r="BT117" s="25">
        <f t="shared" si="61"/>
        <v>480700.45985713048</v>
      </c>
      <c r="BV117" s="25">
        <f>VLOOKUP(BK117,'Hazard Weighting Functions'!$B$5:$G$1205,5,FALSE)</f>
        <v>0.75700000000000001</v>
      </c>
      <c r="BW117" s="25">
        <f t="shared" si="62"/>
        <v>109176.19093399633</v>
      </c>
      <c r="BX117" s="25">
        <f t="shared" si="63"/>
        <v>511233.08100401249</v>
      </c>
    </row>
    <row r="118" spans="2:76">
      <c r="B118" s="25">
        <v>378</v>
      </c>
      <c r="C118" s="36">
        <v>0.11356135365512547</v>
      </c>
      <c r="E118" s="25">
        <v>378</v>
      </c>
      <c r="F118" s="36"/>
      <c r="H118" s="25">
        <v>378</v>
      </c>
      <c r="I118" s="36"/>
      <c r="K118" s="25">
        <v>1445</v>
      </c>
      <c r="L118" s="36"/>
      <c r="N118" s="25">
        <v>595</v>
      </c>
      <c r="O118" s="36">
        <v>137166.55845101262</v>
      </c>
      <c r="Q118" s="25">
        <v>478</v>
      </c>
      <c r="R118" s="36">
        <v>44741.551201601265</v>
      </c>
      <c r="V118" s="25">
        <f t="shared" si="41"/>
        <v>378</v>
      </c>
      <c r="W118" s="25">
        <f t="shared" si="41"/>
        <v>0.11356135365512547</v>
      </c>
      <c r="Y118" s="25">
        <f t="shared" si="42"/>
        <v>378</v>
      </c>
      <c r="Z118" s="25">
        <f t="shared" si="42"/>
        <v>0.11356135365512547</v>
      </c>
      <c r="AA118" s="25">
        <f>VLOOKUP(Y118,'Hazard Weighting Functions'!$B$5:$G$1205,2,FALSE)</f>
        <v>6.8999999999999997E-5</v>
      </c>
      <c r="AB118" s="25">
        <f t="shared" si="43"/>
        <v>7.8357334022036564E-6</v>
      </c>
      <c r="AC118" s="25">
        <f t="shared" si="44"/>
        <v>1.4534354901766578E-5</v>
      </c>
      <c r="AD118" s="25">
        <f t="shared" si="36"/>
        <v>0.21822731458579611</v>
      </c>
      <c r="AE118" s="25">
        <f>VLOOKUP(Y118,'Hazard Weighting Functions'!$B$5:$G$1205,3,FALSE)</f>
        <v>0.01</v>
      </c>
      <c r="AF118" s="25">
        <f t="shared" si="45"/>
        <v>1.1356135365512548E-3</v>
      </c>
      <c r="AG118" s="25">
        <f t="shared" si="46"/>
        <v>2.1822731458579613E-3</v>
      </c>
      <c r="AH118" s="25">
        <f>VLOOKUP(Y118,'Hazard Weighting Functions'!$B$5:$G$1205,5,FALSE)</f>
        <v>0</v>
      </c>
      <c r="AI118" s="25">
        <f t="shared" si="47"/>
        <v>0</v>
      </c>
      <c r="AJ118" s="25">
        <f t="shared" si="48"/>
        <v>4.0819724762961546E-6</v>
      </c>
      <c r="AP118" s="20">
        <f>'IEC_EN62471- LED non-GLS'!E168</f>
        <v>595</v>
      </c>
      <c r="AQ118" s="20">
        <f t="shared" si="49"/>
        <v>96.226817928335052</v>
      </c>
      <c r="AR118" s="25">
        <f>VLOOKUP(AP118,'Hazard Weighting Functions'!$B$5:$G$1205,3,FALSE)</f>
        <v>1E-3</v>
      </c>
      <c r="AS118" s="25">
        <f t="shared" si="50"/>
        <v>9.6226817928335054E-2</v>
      </c>
      <c r="AT118" s="25">
        <f t="shared" si="51"/>
        <v>0.46926782602342759</v>
      </c>
      <c r="AU118" s="20">
        <f t="shared" si="40"/>
        <v>595</v>
      </c>
      <c r="AV118" s="25">
        <f>O118</f>
        <v>137166.55845101262</v>
      </c>
      <c r="AW118" s="25">
        <f>VLOOKUP(AU118,'Hazard Weighting Functions'!$B$5:$G$1205,3,FALSE)</f>
        <v>1E-3</v>
      </c>
      <c r="AX118" s="25">
        <f t="shared" si="52"/>
        <v>137.16655845101263</v>
      </c>
      <c r="AY118" s="25">
        <f t="shared" si="53"/>
        <v>670.32151353262498</v>
      </c>
      <c r="AZ118" s="20">
        <f t="shared" si="37"/>
        <v>478</v>
      </c>
      <c r="BA118" s="20">
        <f t="shared" si="37"/>
        <v>44741.551201601265</v>
      </c>
      <c r="BB118" s="25">
        <f>VLOOKUP(AZ118,'Hazard Weighting Functions'!$B$5:$G$1205,3,FALSE)</f>
        <v>0.487609978</v>
      </c>
      <c r="BC118" s="25">
        <f t="shared" si="54"/>
        <v>21816.426797098666</v>
      </c>
      <c r="BD118" s="25">
        <f t="shared" si="55"/>
        <v>40603.553578360341</v>
      </c>
      <c r="BF118" s="20">
        <f t="shared" si="64"/>
        <v>795</v>
      </c>
      <c r="BG118" s="20">
        <f t="shared" si="64"/>
        <v>0</v>
      </c>
      <c r="BH118" s="25">
        <f>VLOOKUP(BF118,'Hazard Weighting Functions'!$B$5:$G$1205,4,FALSE)</f>
        <v>0.64600000000000002</v>
      </c>
      <c r="BI118" s="25">
        <f t="shared" si="57"/>
        <v>0</v>
      </c>
      <c r="BJ118" s="25">
        <f t="shared" si="58"/>
        <v>0</v>
      </c>
      <c r="BK118" s="1">
        <f t="shared" si="38"/>
        <v>595</v>
      </c>
      <c r="BL118" s="20">
        <f t="shared" si="38"/>
        <v>137166.55845101262</v>
      </c>
      <c r="BM118" s="25">
        <f>VLOOKUP(BK118,'Hazard Weighting Functions'!$B$5:$G$1205,4,FALSE)</f>
        <v>1</v>
      </c>
      <c r="BN118" s="25">
        <f t="shared" si="59"/>
        <v>137166.55845101262</v>
      </c>
      <c r="BO118" s="25">
        <f t="shared" si="34"/>
        <v>670321.51353262481</v>
      </c>
      <c r="BP118" s="20">
        <f t="shared" si="39"/>
        <v>478</v>
      </c>
      <c r="BQ118" s="20">
        <f t="shared" si="39"/>
        <v>44741.551201601265</v>
      </c>
      <c r="BR118" s="25">
        <f>VLOOKUP(BP118,'Hazard Weighting Functions'!$B$5:$G$1205,4,FALSE)</f>
        <v>4.8760997799999997</v>
      </c>
      <c r="BS118" s="25">
        <f t="shared" si="60"/>
        <v>218164.26797098666</v>
      </c>
      <c r="BT118" s="25">
        <f t="shared" si="61"/>
        <v>406035.53578360344</v>
      </c>
      <c r="BV118" s="25">
        <f>VLOOKUP(BK118,'Hazard Weighting Functions'!$B$5:$G$1205,5,FALSE)</f>
        <v>0.69489999999999996</v>
      </c>
      <c r="BW118" s="25">
        <f t="shared" si="62"/>
        <v>95317.041467608666</v>
      </c>
      <c r="BX118" s="25">
        <f t="shared" si="63"/>
        <v>444885.23275163549</v>
      </c>
    </row>
    <row r="119" spans="2:76">
      <c r="B119" s="25">
        <v>380</v>
      </c>
      <c r="C119" s="36">
        <v>0.10466596093067064</v>
      </c>
      <c r="E119" s="25">
        <v>380</v>
      </c>
      <c r="F119" s="36"/>
      <c r="H119" s="25">
        <v>380</v>
      </c>
      <c r="I119" s="36"/>
      <c r="K119" s="25">
        <v>1450</v>
      </c>
      <c r="L119" s="36"/>
      <c r="N119" s="25">
        <v>600</v>
      </c>
      <c r="O119" s="36">
        <v>130962.04696203729</v>
      </c>
      <c r="Q119" s="25">
        <v>480</v>
      </c>
      <c r="R119" s="36">
        <v>41749.170625025945</v>
      </c>
      <c r="V119" s="25">
        <f t="shared" si="41"/>
        <v>380</v>
      </c>
      <c r="W119" s="25">
        <f t="shared" si="41"/>
        <v>0.10466596093067064</v>
      </c>
      <c r="Y119" s="25">
        <f t="shared" si="42"/>
        <v>380</v>
      </c>
      <c r="Z119" s="25">
        <f t="shared" si="42"/>
        <v>0.10466596093067064</v>
      </c>
      <c r="AA119" s="25">
        <f>VLOOKUP(Y119,'Hazard Weighting Functions'!$B$5:$G$1205,2,FALSE)</f>
        <v>6.3999999999999997E-5</v>
      </c>
      <c r="AB119" s="25">
        <f t="shared" si="43"/>
        <v>6.698621499562921E-6</v>
      </c>
      <c r="AC119" s="25">
        <f t="shared" si="44"/>
        <v>1.1633838135064302E-5</v>
      </c>
      <c r="AD119" s="25">
        <f t="shared" si="36"/>
        <v>0.18831370051543983</v>
      </c>
      <c r="AE119" s="25">
        <f>VLOOKUP(Y119,'Hazard Weighting Functions'!$B$5:$G$1205,3,FALSE)</f>
        <v>0.01</v>
      </c>
      <c r="AF119" s="25">
        <f t="shared" si="45"/>
        <v>1.0466596093067063E-3</v>
      </c>
      <c r="AG119" s="25">
        <f t="shared" si="46"/>
        <v>1.9756934799481638E-3</v>
      </c>
      <c r="AH119" s="25">
        <f>VLOOKUP(Y119,'Hazard Weighting Functions'!$B$5:$G$1205,5,FALSE)</f>
        <v>3.8999999999999999E-5</v>
      </c>
      <c r="AI119" s="25">
        <f t="shared" si="47"/>
        <v>4.0819724762961546E-6</v>
      </c>
      <c r="AJ119" s="25">
        <f t="shared" si="48"/>
        <v>8.0839329262692879E-6</v>
      </c>
      <c r="AM119" s="25">
        <f>0.5*(V120-V119)*(W119+W120)</f>
        <v>0.18831370051543983</v>
      </c>
      <c r="AP119" s="20">
        <f>'IEC_EN62471- LED non-GLS'!E169</f>
        <v>600</v>
      </c>
      <c r="AQ119" s="20">
        <f t="shared" si="49"/>
        <v>91.480312481035995</v>
      </c>
      <c r="AR119" s="25">
        <f>VLOOKUP(AP119,'Hazard Weighting Functions'!$B$5:$G$1205,3,FALSE)</f>
        <v>1E-3</v>
      </c>
      <c r="AS119" s="25">
        <f t="shared" si="50"/>
        <v>9.1480312481035997E-2</v>
      </c>
      <c r="AT119" s="25">
        <f t="shared" si="51"/>
        <v>0.44482711934109792</v>
      </c>
      <c r="AU119" s="20">
        <f t="shared" si="40"/>
        <v>600</v>
      </c>
      <c r="AV119" s="25">
        <f>O119</f>
        <v>130962.04696203729</v>
      </c>
      <c r="AW119" s="25">
        <f>VLOOKUP(AU119,'Hazard Weighting Functions'!$B$5:$G$1205,3,FALSE)</f>
        <v>1E-3</v>
      </c>
      <c r="AX119" s="25">
        <f t="shared" si="52"/>
        <v>130.96204696203731</v>
      </c>
      <c r="AY119" s="25">
        <f t="shared" si="53"/>
        <v>635.6232282718172</v>
      </c>
      <c r="AZ119" s="20">
        <f t="shared" si="37"/>
        <v>480</v>
      </c>
      <c r="BA119" s="20">
        <f t="shared" si="37"/>
        <v>41749.170625025945</v>
      </c>
      <c r="BB119" s="25">
        <f>VLOOKUP(AZ119,'Hazard Weighting Functions'!$B$5:$G$1205,3,FALSE)</f>
        <v>0.45</v>
      </c>
      <c r="BC119" s="25">
        <f t="shared" si="54"/>
        <v>18787.126781261675</v>
      </c>
      <c r="BD119" s="25">
        <f t="shared" si="55"/>
        <v>86293.750011728771</v>
      </c>
      <c r="BF119" s="20">
        <f t="shared" si="64"/>
        <v>800</v>
      </c>
      <c r="BG119" s="20">
        <f t="shared" si="64"/>
        <v>0</v>
      </c>
      <c r="BH119" s="25">
        <f>VLOOKUP(BF119,'Hazard Weighting Functions'!$B$5:$G$1205,4,FALSE)</f>
        <v>0.63100000000000001</v>
      </c>
      <c r="BI119" s="25">
        <f t="shared" si="57"/>
        <v>0</v>
      </c>
      <c r="BJ119" s="25">
        <f t="shared" si="58"/>
        <v>0</v>
      </c>
      <c r="BK119" s="1">
        <f t="shared" si="38"/>
        <v>600</v>
      </c>
      <c r="BL119" s="20">
        <f t="shared" si="38"/>
        <v>130962.04696203729</v>
      </c>
      <c r="BM119" s="25">
        <f>VLOOKUP(BK119,'Hazard Weighting Functions'!$B$5:$G$1205,4,FALSE)</f>
        <v>1</v>
      </c>
      <c r="BN119" s="25">
        <f t="shared" si="59"/>
        <v>130962.04696203729</v>
      </c>
      <c r="BO119" s="25">
        <f t="shared" si="34"/>
        <v>635623.22827181709</v>
      </c>
      <c r="BP119" s="20">
        <f t="shared" si="39"/>
        <v>480</v>
      </c>
      <c r="BQ119" s="20">
        <f t="shared" si="39"/>
        <v>41749.170625025945</v>
      </c>
      <c r="BR119" s="25">
        <f>VLOOKUP(BP119,'Hazard Weighting Functions'!$B$5:$G$1205,4,FALSE)</f>
        <v>4.5</v>
      </c>
      <c r="BS119" s="25">
        <f t="shared" si="60"/>
        <v>187871.26781261674</v>
      </c>
      <c r="BT119" s="25">
        <f t="shared" si="61"/>
        <v>862937.50011728751</v>
      </c>
      <c r="BV119" s="25">
        <f>VLOOKUP(BK119,'Hazard Weighting Functions'!$B$5:$G$1205,5,FALSE)</f>
        <v>0.63100000000000001</v>
      </c>
      <c r="BW119" s="25">
        <f t="shared" si="62"/>
        <v>82637.051633045528</v>
      </c>
      <c r="BX119" s="25">
        <f t="shared" si="63"/>
        <v>381290.65432187286</v>
      </c>
    </row>
    <row r="120" spans="2:76">
      <c r="B120" s="25">
        <v>382</v>
      </c>
      <c r="C120" s="36">
        <v>8.3647739584769176E-2</v>
      </c>
      <c r="E120" s="25">
        <v>382</v>
      </c>
      <c r="F120" s="36"/>
      <c r="H120" s="25">
        <v>382</v>
      </c>
      <c r="I120" s="36"/>
      <c r="K120" s="25">
        <v>1455</v>
      </c>
      <c r="L120" s="36"/>
      <c r="N120" s="25">
        <v>605</v>
      </c>
      <c r="O120" s="36">
        <v>123287.24434668955</v>
      </c>
      <c r="Q120" s="20">
        <v>485</v>
      </c>
      <c r="R120" s="36">
        <v>39325.933058574577</v>
      </c>
      <c r="V120" s="25">
        <f t="shared" si="41"/>
        <v>382</v>
      </c>
      <c r="W120" s="25">
        <f t="shared" si="41"/>
        <v>8.3647739584769176E-2</v>
      </c>
      <c r="Y120" s="25">
        <f t="shared" si="42"/>
        <v>382</v>
      </c>
      <c r="Z120" s="25">
        <f t="shared" si="42"/>
        <v>8.3647739584769176E-2</v>
      </c>
      <c r="AA120" s="25">
        <f>VLOOKUP(Y120,'Hazard Weighting Functions'!$B$5:$G$1205,2,FALSE)</f>
        <v>5.8999999999999998E-5</v>
      </c>
      <c r="AB120" s="25">
        <f t="shared" si="43"/>
        <v>4.9352166355013809E-6</v>
      </c>
      <c r="AC120" s="25">
        <f t="shared" si="44"/>
        <v>9.6816559695134958E-6</v>
      </c>
      <c r="AD120" s="25">
        <f t="shared" si="36"/>
        <v>0.16994663656680764</v>
      </c>
      <c r="AE120" s="25">
        <f>VLOOKUP(Y120,'Hazard Weighting Functions'!$B$5:$G$1205,3,FALSE)</f>
        <v>1.1106503E-2</v>
      </c>
      <c r="AF120" s="25">
        <f t="shared" si="45"/>
        <v>9.2903387064145759E-4</v>
      </c>
      <c r="AG120" s="25">
        <f t="shared" si="46"/>
        <v>1.9935688227284711E-3</v>
      </c>
      <c r="AH120" s="25">
        <f>VLOOKUP(Y120,'Hazard Weighting Functions'!$B$5:$G$1205,5,FALSE)</f>
        <v>4.784301966603079E-5</v>
      </c>
      <c r="AI120" s="25">
        <f t="shared" si="47"/>
        <v>4.0019604499731341E-6</v>
      </c>
      <c r="AJ120" s="25">
        <f t="shared" si="48"/>
        <v>8.9604672030447985E-6</v>
      </c>
      <c r="AM120" s="25">
        <f t="shared" ref="AM120:AM183" si="65">0.5*(V121-V120)*(W120+W121)</f>
        <v>0.16994663656680764</v>
      </c>
      <c r="AP120" s="20">
        <f>'IEC_EN62471- LED non-GLS'!E170</f>
        <v>605</v>
      </c>
      <c r="AQ120" s="20">
        <f t="shared" si="49"/>
        <v>86.450535255403167</v>
      </c>
      <c r="AR120" s="25">
        <f>VLOOKUP(AP120,'Hazard Weighting Functions'!$B$5:$G$1205,3,FALSE)</f>
        <v>1E-3</v>
      </c>
      <c r="AS120" s="25">
        <f t="shared" si="50"/>
        <v>8.6450535255403166E-2</v>
      </c>
      <c r="AT120" s="25">
        <f t="shared" si="51"/>
        <v>0.41895767402416206</v>
      </c>
      <c r="AU120" s="20">
        <f t="shared" si="40"/>
        <v>605</v>
      </c>
      <c r="AV120" s="25">
        <f>O120</f>
        <v>123287.24434668955</v>
      </c>
      <c r="AW120" s="25">
        <f>VLOOKUP(AU120,'Hazard Weighting Functions'!$B$5:$G$1205,3,FALSE)</f>
        <v>1E-3</v>
      </c>
      <c r="AX120" s="25">
        <f t="shared" si="52"/>
        <v>123.28724434668955</v>
      </c>
      <c r="AY120" s="25">
        <f t="shared" si="53"/>
        <v>595.21576536265093</v>
      </c>
      <c r="AZ120" s="20">
        <f t="shared" si="37"/>
        <v>485</v>
      </c>
      <c r="BA120" s="20">
        <f t="shared" si="37"/>
        <v>39325.933058574577</v>
      </c>
      <c r="BB120" s="25">
        <f>VLOOKUP(AZ120,'Hazard Weighting Functions'!$B$5:$G$1205,3,FALSE)</f>
        <v>0.4</v>
      </c>
      <c r="BC120" s="25">
        <f t="shared" si="54"/>
        <v>15730.373223429831</v>
      </c>
      <c r="BD120" s="25">
        <f t="shared" si="55"/>
        <v>62689.111689215133</v>
      </c>
      <c r="BF120" s="20">
        <f t="shared" si="64"/>
        <v>805</v>
      </c>
      <c r="BG120" s="20">
        <f t="shared" si="64"/>
        <v>0</v>
      </c>
      <c r="BH120" s="25">
        <f>VLOOKUP(BF120,'Hazard Weighting Functions'!$B$5:$G$1205,4,FALSE)</f>
        <v>0.61699999999999999</v>
      </c>
      <c r="BI120" s="25">
        <f t="shared" si="57"/>
        <v>0</v>
      </c>
      <c r="BJ120" s="25">
        <f t="shared" si="58"/>
        <v>0</v>
      </c>
      <c r="BK120" s="1">
        <f t="shared" si="38"/>
        <v>605</v>
      </c>
      <c r="BL120" s="20">
        <f t="shared" si="38"/>
        <v>123287.24434668955</v>
      </c>
      <c r="BM120" s="25">
        <f>VLOOKUP(BK120,'Hazard Weighting Functions'!$B$5:$G$1205,4,FALSE)</f>
        <v>1</v>
      </c>
      <c r="BN120" s="25">
        <f t="shared" si="59"/>
        <v>123287.24434668955</v>
      </c>
      <c r="BO120" s="25">
        <f t="shared" si="34"/>
        <v>595215.76536265085</v>
      </c>
      <c r="BP120" s="20">
        <f t="shared" si="39"/>
        <v>485</v>
      </c>
      <c r="BQ120" s="20">
        <f t="shared" si="39"/>
        <v>39325.933058574577</v>
      </c>
      <c r="BR120" s="25">
        <f>VLOOKUP(BP120,'Hazard Weighting Functions'!$B$5:$G$1205,4,FALSE)</f>
        <v>4</v>
      </c>
      <c r="BS120" s="25">
        <f t="shared" si="60"/>
        <v>157303.73223429831</v>
      </c>
      <c r="BT120" s="25">
        <f t="shared" si="61"/>
        <v>626891.1168921513</v>
      </c>
      <c r="BV120" s="25">
        <f>VLOOKUP(BK120,'Hazard Weighting Functions'!$B$5:$G$1205,5,FALSE)</f>
        <v>0.56679999999999997</v>
      </c>
      <c r="BW120" s="25">
        <f t="shared" si="62"/>
        <v>69879.210095703631</v>
      </c>
      <c r="BX120" s="25">
        <f t="shared" si="63"/>
        <v>319057.84545071033</v>
      </c>
    </row>
    <row r="121" spans="2:76">
      <c r="B121" s="25">
        <v>384</v>
      </c>
      <c r="C121" s="36">
        <v>8.629889698203845E-2</v>
      </c>
      <c r="E121" s="25">
        <v>384</v>
      </c>
      <c r="F121" s="36"/>
      <c r="H121" s="25">
        <v>384</v>
      </c>
      <c r="I121" s="36"/>
      <c r="K121" s="25">
        <v>1460</v>
      </c>
      <c r="L121" s="36"/>
      <c r="N121" s="25">
        <v>610</v>
      </c>
      <c r="O121" s="36">
        <v>114799.06179837078</v>
      </c>
      <c r="Q121" s="20">
        <v>490</v>
      </c>
      <c r="R121" s="36">
        <v>42478.506601164649</v>
      </c>
      <c r="V121" s="25">
        <f t="shared" si="41"/>
        <v>384</v>
      </c>
      <c r="W121" s="25">
        <f t="shared" si="41"/>
        <v>8.629889698203845E-2</v>
      </c>
      <c r="Y121" s="25">
        <f t="shared" si="42"/>
        <v>384</v>
      </c>
      <c r="Z121" s="25">
        <f t="shared" si="42"/>
        <v>8.629889698203845E-2</v>
      </c>
      <c r="AA121" s="25">
        <f>VLOOKUP(Y121,'Hazard Weighting Functions'!$B$5:$G$1205,2,FALSE)</f>
        <v>5.5000000000000002E-5</v>
      </c>
      <c r="AB121" s="25">
        <f t="shared" si="43"/>
        <v>4.7464393340121149E-6</v>
      </c>
      <c r="AC121" s="25">
        <f t="shared" si="44"/>
        <v>1.0140537555133271E-5</v>
      </c>
      <c r="AD121" s="25">
        <f t="shared" si="36"/>
        <v>0.19206552876872779</v>
      </c>
      <c r="AE121" s="25">
        <f>VLOOKUP(Y121,'Hazard Weighting Functions'!$B$5:$G$1205,3,FALSE)</f>
        <v>1.2335441000000001E-2</v>
      </c>
      <c r="AF121" s="25">
        <f t="shared" si="45"/>
        <v>1.0645349520870134E-3</v>
      </c>
      <c r="AG121" s="25">
        <f t="shared" si="46"/>
        <v>2.6316156752913171E-3</v>
      </c>
      <c r="AH121" s="25">
        <f>VLOOKUP(Y121,'Hazard Weighting Functions'!$B$5:$G$1205,5,FALSE)</f>
        <v>5.7457359554707719E-5</v>
      </c>
      <c r="AI121" s="25">
        <f t="shared" si="47"/>
        <v>4.9585067530716644E-6</v>
      </c>
      <c r="AJ121" s="25">
        <f t="shared" si="48"/>
        <v>1.2608954238949294E-5</v>
      </c>
      <c r="AM121" s="25">
        <f t="shared" si="65"/>
        <v>0.19206552876872779</v>
      </c>
      <c r="AP121" s="20">
        <f>'IEC_EN62471- LED non-GLS'!E171</f>
        <v>610</v>
      </c>
      <c r="AQ121" s="20">
        <f t="shared" si="49"/>
        <v>81.132534354261651</v>
      </c>
      <c r="AR121" s="25">
        <f>VLOOKUP(AP121,'Hazard Weighting Functions'!$B$5:$G$1205,3,FALSE)</f>
        <v>1E-3</v>
      </c>
      <c r="AS121" s="25">
        <f t="shared" si="50"/>
        <v>8.1132534354261654E-2</v>
      </c>
      <c r="AT121" s="25">
        <f t="shared" si="51"/>
        <v>0.39206142423585466</v>
      </c>
      <c r="AU121" s="20">
        <f t="shared" si="40"/>
        <v>610</v>
      </c>
      <c r="AV121" s="25">
        <f>O121</f>
        <v>114799.06179837078</v>
      </c>
      <c r="AW121" s="25">
        <f>VLOOKUP(AU121,'Hazard Weighting Functions'!$B$5:$G$1205,3,FALSE)</f>
        <v>1E-3</v>
      </c>
      <c r="AX121" s="25">
        <f t="shared" si="52"/>
        <v>114.79906179837079</v>
      </c>
      <c r="AY121" s="25">
        <f t="shared" si="53"/>
        <v>551.60941458527293</v>
      </c>
      <c r="AZ121" s="20">
        <f t="shared" si="37"/>
        <v>490</v>
      </c>
      <c r="BA121" s="20">
        <f t="shared" si="37"/>
        <v>42478.506601164649</v>
      </c>
      <c r="BB121" s="25">
        <f>VLOOKUP(AZ121,'Hazard Weighting Functions'!$B$5:$G$1205,3,FALSE)</f>
        <v>0.22</v>
      </c>
      <c r="BC121" s="25">
        <f t="shared" si="54"/>
        <v>9345.2714522562219</v>
      </c>
      <c r="BD121" s="25">
        <f t="shared" si="55"/>
        <v>44551.520855856405</v>
      </c>
      <c r="BF121" s="20">
        <f t="shared" si="64"/>
        <v>810</v>
      </c>
      <c r="BG121" s="20">
        <f t="shared" si="64"/>
        <v>0</v>
      </c>
      <c r="BH121" s="25">
        <f>VLOOKUP(BF121,'Hazard Weighting Functions'!$B$5:$G$1205,4,FALSE)</f>
        <v>0.60299999999999998</v>
      </c>
      <c r="BI121" s="25">
        <f t="shared" si="57"/>
        <v>0</v>
      </c>
      <c r="BJ121" s="25">
        <f t="shared" si="58"/>
        <v>0</v>
      </c>
      <c r="BK121" s="1">
        <f t="shared" si="38"/>
        <v>610</v>
      </c>
      <c r="BL121" s="20">
        <f t="shared" si="38"/>
        <v>114799.06179837078</v>
      </c>
      <c r="BM121" s="25">
        <f>VLOOKUP(BK121,'Hazard Weighting Functions'!$B$5:$G$1205,4,FALSE)</f>
        <v>1</v>
      </c>
      <c r="BN121" s="25">
        <f t="shared" si="59"/>
        <v>114799.06179837078</v>
      </c>
      <c r="BO121" s="25">
        <f t="shared" si="34"/>
        <v>551609.4145852729</v>
      </c>
      <c r="BP121" s="20">
        <f t="shared" si="39"/>
        <v>490</v>
      </c>
      <c r="BQ121" s="20">
        <f t="shared" si="39"/>
        <v>42478.506601164649</v>
      </c>
      <c r="BR121" s="25">
        <f>VLOOKUP(BP121,'Hazard Weighting Functions'!$B$5:$G$1205,4,FALSE)</f>
        <v>2.2000000000000002</v>
      </c>
      <c r="BS121" s="25">
        <f t="shared" si="60"/>
        <v>93452.714522562237</v>
      </c>
      <c r="BT121" s="25">
        <f t="shared" si="61"/>
        <v>445515.20855856413</v>
      </c>
      <c r="BV121" s="25">
        <f>VLOOKUP(BK121,'Hazard Weighting Functions'!$B$5:$G$1205,5,FALSE)</f>
        <v>0.503</v>
      </c>
      <c r="BW121" s="25">
        <f t="shared" si="62"/>
        <v>57743.928084580504</v>
      </c>
      <c r="BX121" s="25">
        <f t="shared" si="63"/>
        <v>261106.52876287064</v>
      </c>
    </row>
    <row r="122" spans="2:76">
      <c r="B122" s="25">
        <v>386</v>
      </c>
      <c r="C122" s="36">
        <v>0.10576663178668934</v>
      </c>
      <c r="E122" s="25">
        <v>386</v>
      </c>
      <c r="F122" s="36"/>
      <c r="H122" s="25">
        <v>386</v>
      </c>
      <c r="I122" s="36"/>
      <c r="K122" s="25">
        <v>1465</v>
      </c>
      <c r="L122" s="36"/>
      <c r="N122" s="25">
        <v>615</v>
      </c>
      <c r="O122" s="36">
        <v>105844.70403573837</v>
      </c>
      <c r="Q122" s="20">
        <v>495</v>
      </c>
      <c r="R122" s="36">
        <v>52970.855563039629</v>
      </c>
      <c r="V122" s="25">
        <f t="shared" si="41"/>
        <v>386</v>
      </c>
      <c r="W122" s="25">
        <f t="shared" si="41"/>
        <v>0.10576663178668934</v>
      </c>
      <c r="Y122" s="25">
        <f t="shared" si="42"/>
        <v>386</v>
      </c>
      <c r="Z122" s="25">
        <f t="shared" si="42"/>
        <v>0.10576663178668934</v>
      </c>
      <c r="AA122" s="25">
        <f>VLOOKUP(Y122,'Hazard Weighting Functions'!$B$5:$G$1205,2,FALSE)</f>
        <v>5.1E-5</v>
      </c>
      <c r="AB122" s="25">
        <f t="shared" si="43"/>
        <v>5.3940982211211562E-6</v>
      </c>
      <c r="AC122" s="25">
        <f t="shared" si="44"/>
        <v>1.0835432787788184E-5</v>
      </c>
      <c r="AD122" s="25">
        <f t="shared" si="36"/>
        <v>0.22153970767322184</v>
      </c>
      <c r="AE122" s="25">
        <f>VLOOKUP(Y122,'Hazard Weighting Functions'!$B$5:$G$1205,3,FALSE)</f>
        <v>1.48164E-2</v>
      </c>
      <c r="AF122" s="25">
        <f t="shared" si="45"/>
        <v>1.5670807232043039E-3</v>
      </c>
      <c r="AG122" s="25">
        <f t="shared" si="46"/>
        <v>3.7952537410933926E-3</v>
      </c>
      <c r="AH122" s="25">
        <f>VLOOKUP(Y122,'Hazard Weighting Functions'!$B$5:$G$1205,5,FALSE)</f>
        <v>7.2333280890584555E-5</v>
      </c>
      <c r="AI122" s="25">
        <f t="shared" si="47"/>
        <v>7.6504474858776285E-6</v>
      </c>
      <c r="AJ122" s="25">
        <f t="shared" si="48"/>
        <v>1.8509367201076822E-5</v>
      </c>
      <c r="AM122" s="25">
        <f t="shared" si="65"/>
        <v>0.22153970767322184</v>
      </c>
      <c r="AP122" s="20">
        <f>'IEC_EN62471- LED non-GLS'!E172</f>
        <v>615</v>
      </c>
      <c r="AQ122" s="20">
        <f t="shared" si="49"/>
        <v>75.69203534008021</v>
      </c>
      <c r="AR122" s="25">
        <f>VLOOKUP(AP122,'Hazard Weighting Functions'!$B$5:$G$1205,3,FALSE)</f>
        <v>1E-3</v>
      </c>
      <c r="AS122" s="25">
        <f t="shared" si="50"/>
        <v>7.5692035340080205E-2</v>
      </c>
      <c r="AT122" s="25">
        <f t="shared" si="51"/>
        <v>0.3651007309333042</v>
      </c>
      <c r="AU122" s="20">
        <f t="shared" si="40"/>
        <v>615</v>
      </c>
      <c r="AV122" s="25">
        <f>O122</f>
        <v>105844.70403573837</v>
      </c>
      <c r="AW122" s="25">
        <f>VLOOKUP(AU122,'Hazard Weighting Functions'!$B$5:$G$1205,3,FALSE)</f>
        <v>1E-3</v>
      </c>
      <c r="AX122" s="25">
        <f t="shared" si="52"/>
        <v>105.84470403573837</v>
      </c>
      <c r="AY122" s="25">
        <f t="shared" si="53"/>
        <v>510.20403079348392</v>
      </c>
      <c r="AZ122" s="20">
        <f t="shared" si="37"/>
        <v>495</v>
      </c>
      <c r="BA122" s="20">
        <f t="shared" si="37"/>
        <v>52970.855563039629</v>
      </c>
      <c r="BB122" s="25">
        <f>VLOOKUP(AZ122,'Hazard Weighting Functions'!$B$5:$G$1205,3,FALSE)</f>
        <v>0.16</v>
      </c>
      <c r="BC122" s="25">
        <f t="shared" si="54"/>
        <v>8475.3368900863406</v>
      </c>
      <c r="BD122" s="25">
        <f t="shared" si="55"/>
        <v>38739.340282320016</v>
      </c>
      <c r="BF122" s="20">
        <f t="shared" si="64"/>
        <v>815</v>
      </c>
      <c r="BG122" s="20">
        <f t="shared" si="64"/>
        <v>0</v>
      </c>
      <c r="BH122" s="25">
        <f>VLOOKUP(BF122,'Hazard Weighting Functions'!$B$5:$G$1205,4,FALSE)</f>
        <v>0.58899999999999997</v>
      </c>
      <c r="BI122" s="25">
        <f t="shared" si="57"/>
        <v>0</v>
      </c>
      <c r="BJ122" s="25">
        <f t="shared" si="58"/>
        <v>0</v>
      </c>
      <c r="BK122" s="1">
        <f t="shared" si="38"/>
        <v>615</v>
      </c>
      <c r="BL122" s="20">
        <f t="shared" si="38"/>
        <v>105844.70403573837</v>
      </c>
      <c r="BM122" s="25">
        <f>VLOOKUP(BK122,'Hazard Weighting Functions'!$B$5:$G$1205,4,FALSE)</f>
        <v>1</v>
      </c>
      <c r="BN122" s="25">
        <f t="shared" si="59"/>
        <v>105844.70403573837</v>
      </c>
      <c r="BO122" s="25">
        <f t="shared" si="34"/>
        <v>510204.03079348383</v>
      </c>
      <c r="BP122" s="20">
        <f t="shared" si="39"/>
        <v>495</v>
      </c>
      <c r="BQ122" s="20">
        <f t="shared" si="39"/>
        <v>52970.855563039629</v>
      </c>
      <c r="BR122" s="25">
        <f>VLOOKUP(BP122,'Hazard Weighting Functions'!$B$5:$G$1205,4,FALSE)</f>
        <v>1.6</v>
      </c>
      <c r="BS122" s="25">
        <f t="shared" si="60"/>
        <v>84753.36890086341</v>
      </c>
      <c r="BT122" s="25">
        <f t="shared" si="61"/>
        <v>387393.40282320016</v>
      </c>
      <c r="BV122" s="25">
        <f>VLOOKUP(BK122,'Hazard Weighting Functions'!$B$5:$G$1205,5,FALSE)</f>
        <v>0.44119999999999998</v>
      </c>
      <c r="BW122" s="25">
        <f t="shared" si="62"/>
        <v>46698.683420567766</v>
      </c>
      <c r="BX122" s="25">
        <f t="shared" si="63"/>
        <v>210317.36368969601</v>
      </c>
    </row>
    <row r="123" spans="2:76">
      <c r="B123" s="25">
        <v>388</v>
      </c>
      <c r="C123" s="36">
        <v>0.11577307588653252</v>
      </c>
      <c r="E123" s="25">
        <v>388</v>
      </c>
      <c r="F123" s="36"/>
      <c r="H123" s="25">
        <v>388</v>
      </c>
      <c r="I123" s="36"/>
      <c r="K123" s="25">
        <v>1470</v>
      </c>
      <c r="L123" s="36"/>
      <c r="N123" s="25">
        <v>620</v>
      </c>
      <c r="O123" s="36">
        <v>98236.908281655182</v>
      </c>
      <c r="Q123" s="20">
        <v>500</v>
      </c>
      <c r="R123" s="36">
        <v>70203.992228416653</v>
      </c>
      <c r="V123" s="25">
        <f t="shared" si="41"/>
        <v>388</v>
      </c>
      <c r="W123" s="25">
        <f t="shared" si="41"/>
        <v>0.11577307588653252</v>
      </c>
      <c r="Y123" s="25">
        <f t="shared" si="42"/>
        <v>388</v>
      </c>
      <c r="Z123" s="25">
        <f t="shared" si="42"/>
        <v>0.11577307588653252</v>
      </c>
      <c r="AA123" s="25">
        <f>VLOOKUP(Y123,'Hazard Weighting Functions'!$B$5:$G$1205,2,FALSE)</f>
        <v>4.6999999999999997E-5</v>
      </c>
      <c r="AB123" s="25">
        <f t="shared" si="43"/>
        <v>5.4413345666670276E-6</v>
      </c>
      <c r="AC123" s="25">
        <f t="shared" si="44"/>
        <v>1.2406438716691562E-5</v>
      </c>
      <c r="AD123" s="25">
        <f t="shared" si="36"/>
        <v>0.27407089747799918</v>
      </c>
      <c r="AE123" s="25">
        <f>VLOOKUP(Y123,'Hazard Weighting Functions'!$B$5:$G$1205,3,FALSE)</f>
        <v>1.9246038E-2</v>
      </c>
      <c r="AF123" s="25">
        <f t="shared" si="45"/>
        <v>2.2281730178890886E-3</v>
      </c>
      <c r="AG123" s="25">
        <f t="shared" si="46"/>
        <v>6.1856185576757558E-3</v>
      </c>
      <c r="AH123" s="25">
        <f>VLOOKUP(Y123,'Hazard Weighting Functions'!$B$5:$G$1205,5,FALSE)</f>
        <v>9.3794862337784476E-5</v>
      </c>
      <c r="AI123" s="25">
        <f t="shared" si="47"/>
        <v>1.0858919715199193E-5</v>
      </c>
      <c r="AJ123" s="25">
        <f t="shared" si="48"/>
        <v>2.9854658306175199E-5</v>
      </c>
      <c r="AM123" s="25">
        <f t="shared" si="65"/>
        <v>0.27407089747799918</v>
      </c>
      <c r="AP123" s="20">
        <f>'IEC_EN62471- LED non-GLS'!E173</f>
        <v>620</v>
      </c>
      <c r="AQ123" s="20">
        <f t="shared" si="49"/>
        <v>70.348257033241467</v>
      </c>
      <c r="AR123" s="25">
        <f>VLOOKUP(AP123,'Hazard Weighting Functions'!$B$5:$G$1205,3,FALSE)</f>
        <v>1E-3</v>
      </c>
      <c r="AS123" s="25">
        <f t="shared" si="50"/>
        <v>7.0348257033241463E-2</v>
      </c>
      <c r="AT123" s="25">
        <f t="shared" si="51"/>
        <v>0.33832186906781236</v>
      </c>
      <c r="AU123" s="20">
        <f t="shared" si="40"/>
        <v>620</v>
      </c>
      <c r="AV123" s="25">
        <f>O123</f>
        <v>98236.908281655182</v>
      </c>
      <c r="AW123" s="25">
        <f>VLOOKUP(AU123,'Hazard Weighting Functions'!$B$5:$G$1205,3,FALSE)</f>
        <v>1E-3</v>
      </c>
      <c r="AX123" s="25">
        <f t="shared" si="52"/>
        <v>98.23690828165519</v>
      </c>
      <c r="AY123" s="25">
        <f t="shared" si="53"/>
        <v>472.13935308936175</v>
      </c>
      <c r="AZ123" s="20">
        <f t="shared" si="37"/>
        <v>500</v>
      </c>
      <c r="BA123" s="20">
        <f t="shared" si="37"/>
        <v>70203.992228416653</v>
      </c>
      <c r="BB123" s="25">
        <f>VLOOKUP(AZ123,'Hazard Weighting Functions'!$B$5:$G$1205,3,FALSE)</f>
        <v>0.1</v>
      </c>
      <c r="BC123" s="25">
        <f t="shared" si="54"/>
        <v>7020.3992228416655</v>
      </c>
      <c r="BD123" s="25">
        <f t="shared" si="55"/>
        <v>35547.478481321989</v>
      </c>
      <c r="BF123" s="20">
        <f t="shared" si="64"/>
        <v>820</v>
      </c>
      <c r="BG123" s="20">
        <f t="shared" si="64"/>
        <v>0</v>
      </c>
      <c r="BH123" s="25">
        <f>VLOOKUP(BF123,'Hazard Weighting Functions'!$B$5:$G$1205,4,FALSE)</f>
        <v>0.57499999999999996</v>
      </c>
      <c r="BI123" s="25">
        <f t="shared" si="57"/>
        <v>0</v>
      </c>
      <c r="BJ123" s="25">
        <f t="shared" si="58"/>
        <v>0</v>
      </c>
      <c r="BK123" s="1">
        <f t="shared" si="38"/>
        <v>620</v>
      </c>
      <c r="BL123" s="20">
        <f t="shared" si="38"/>
        <v>98236.908281655182</v>
      </c>
      <c r="BM123" s="25">
        <f>VLOOKUP(BK123,'Hazard Weighting Functions'!$B$5:$G$1205,4,FALSE)</f>
        <v>1</v>
      </c>
      <c r="BN123" s="25">
        <f t="shared" si="59"/>
        <v>98236.908281655182</v>
      </c>
      <c r="BO123" s="25">
        <f t="shared" si="34"/>
        <v>472139.35308936168</v>
      </c>
      <c r="BP123" s="20">
        <f t="shared" si="39"/>
        <v>500</v>
      </c>
      <c r="BQ123" s="20">
        <f t="shared" si="39"/>
        <v>70203.992228416653</v>
      </c>
      <c r="BR123" s="25">
        <f>VLOOKUP(BP123,'Hazard Weighting Functions'!$B$5:$G$1205,4,FALSE)</f>
        <v>1</v>
      </c>
      <c r="BS123" s="25">
        <f t="shared" si="60"/>
        <v>70203.992228416653</v>
      </c>
      <c r="BT123" s="25">
        <f t="shared" si="61"/>
        <v>403313.53024468495</v>
      </c>
      <c r="BV123" s="25">
        <f>VLOOKUP(BK123,'Hazard Weighting Functions'!$B$5:$G$1205,5,FALSE)</f>
        <v>0.38100000000000001</v>
      </c>
      <c r="BW123" s="25">
        <f t="shared" si="62"/>
        <v>37428.262055310624</v>
      </c>
      <c r="BX123" s="25">
        <f t="shared" si="63"/>
        <v>166292.26858393342</v>
      </c>
    </row>
    <row r="124" spans="2:76">
      <c r="B124" s="25">
        <v>390</v>
      </c>
      <c r="C124" s="36">
        <v>0.15829782159146669</v>
      </c>
      <c r="E124" s="25">
        <v>390</v>
      </c>
      <c r="F124" s="36"/>
      <c r="H124" s="25">
        <v>390</v>
      </c>
      <c r="I124" s="36"/>
      <c r="K124" s="25">
        <v>1475</v>
      </c>
      <c r="L124" s="36"/>
      <c r="N124" s="25">
        <v>625</v>
      </c>
      <c r="O124" s="36">
        <v>90618.832954089492</v>
      </c>
      <c r="Q124" s="20">
        <v>505</v>
      </c>
      <c r="R124" s="36">
        <v>91121.419869457328</v>
      </c>
      <c r="V124" s="25">
        <f t="shared" si="41"/>
        <v>390</v>
      </c>
      <c r="W124" s="25">
        <f t="shared" si="41"/>
        <v>0.15829782159146669</v>
      </c>
      <c r="Y124" s="25">
        <f t="shared" si="42"/>
        <v>390</v>
      </c>
      <c r="Z124" s="25">
        <f t="shared" si="42"/>
        <v>0.15829782159146669</v>
      </c>
      <c r="AA124" s="25">
        <f>VLOOKUP(Y124,'Hazard Weighting Functions'!$B$5:$G$1205,2,FALSE)</f>
        <v>4.3999999999999999E-5</v>
      </c>
      <c r="AB124" s="25">
        <f t="shared" si="43"/>
        <v>6.9651041500245339E-6</v>
      </c>
      <c r="AC124" s="25">
        <f t="shared" si="44"/>
        <v>1.3954276812802342E-5</v>
      </c>
      <c r="AD124" s="25">
        <f t="shared" si="36"/>
        <v>0.32876544751287662</v>
      </c>
      <c r="AE124" s="25">
        <f>VLOOKUP(Y124,'Hazard Weighting Functions'!$B$5:$G$1205,3,FALSE)</f>
        <v>2.5000000000000001E-2</v>
      </c>
      <c r="AF124" s="25">
        <f t="shared" si="45"/>
        <v>3.9574455397866672E-3</v>
      </c>
      <c r="AG124" s="25">
        <f t="shared" si="46"/>
        <v>9.5807801024591112E-3</v>
      </c>
      <c r="AH124" s="25">
        <f>VLOOKUP(Y124,'Hazard Weighting Functions'!$B$5:$G$1205,5,FALSE)</f>
        <v>1.2E-4</v>
      </c>
      <c r="AI124" s="25">
        <f t="shared" si="47"/>
        <v>1.8995738590976004E-5</v>
      </c>
      <c r="AJ124" s="25">
        <f t="shared" si="48"/>
        <v>4.4648970613864411E-5</v>
      </c>
      <c r="AM124" s="25">
        <f t="shared" si="65"/>
        <v>0.32876544751287662</v>
      </c>
      <c r="AP124" s="20">
        <f>'IEC_EN62471- LED non-GLS'!E174</f>
        <v>625</v>
      </c>
      <c r="AQ124" s="20">
        <f t="shared" si="49"/>
        <v>64.980490593883474</v>
      </c>
      <c r="AR124" s="25">
        <f>VLOOKUP(AP124,'Hazard Weighting Functions'!$B$5:$G$1205,3,FALSE)</f>
        <v>1E-3</v>
      </c>
      <c r="AS124" s="25">
        <f t="shared" si="50"/>
        <v>6.4980490593883472E-2</v>
      </c>
      <c r="AT124" s="25">
        <f t="shared" si="51"/>
        <v>0.31231250591282228</v>
      </c>
      <c r="AU124" s="20">
        <f t="shared" si="40"/>
        <v>625</v>
      </c>
      <c r="AV124" s="25">
        <f>O124</f>
        <v>90618.832954089492</v>
      </c>
      <c r="AW124" s="25">
        <f>VLOOKUP(AU124,'Hazard Weighting Functions'!$B$5:$G$1205,3,FALSE)</f>
        <v>1E-3</v>
      </c>
      <c r="AX124" s="25">
        <f t="shared" si="52"/>
        <v>90.618832954089498</v>
      </c>
      <c r="AY124" s="25">
        <f t="shared" si="53"/>
        <v>434.81749752804006</v>
      </c>
      <c r="AZ124" s="20">
        <f t="shared" si="37"/>
        <v>505</v>
      </c>
      <c r="BA124" s="20">
        <f t="shared" si="37"/>
        <v>91121.419869457328</v>
      </c>
      <c r="BB124" s="25">
        <f>VLOOKUP(AZ124,'Hazard Weighting Functions'!$B$5:$G$1205,3,FALSE)</f>
        <v>7.9000000000000001E-2</v>
      </c>
      <c r="BC124" s="25">
        <f t="shared" si="54"/>
        <v>7198.5921696871292</v>
      </c>
      <c r="BD124" s="25">
        <f t="shared" si="55"/>
        <v>35858.032268977106</v>
      </c>
      <c r="BF124" s="20">
        <f t="shared" si="64"/>
        <v>825</v>
      </c>
      <c r="BG124" s="20">
        <f t="shared" si="64"/>
        <v>0</v>
      </c>
      <c r="BH124" s="25">
        <f>VLOOKUP(BF124,'Hazard Weighting Functions'!$B$5:$G$1205,4,FALSE)</f>
        <v>0.56200000000000006</v>
      </c>
      <c r="BI124" s="25">
        <f t="shared" si="57"/>
        <v>0</v>
      </c>
      <c r="BJ124" s="25">
        <f t="shared" si="58"/>
        <v>0</v>
      </c>
      <c r="BK124" s="1">
        <f t="shared" si="38"/>
        <v>625</v>
      </c>
      <c r="BL124" s="20">
        <f t="shared" si="38"/>
        <v>90618.832954089492</v>
      </c>
      <c r="BM124" s="25">
        <f>VLOOKUP(BK124,'Hazard Weighting Functions'!$B$5:$G$1205,4,FALSE)</f>
        <v>1</v>
      </c>
      <c r="BN124" s="25">
        <f t="shared" si="59"/>
        <v>90618.832954089492</v>
      </c>
      <c r="BO124" s="25">
        <f t="shared" si="34"/>
        <v>434817.49752803997</v>
      </c>
      <c r="BP124" s="20">
        <f t="shared" si="39"/>
        <v>505</v>
      </c>
      <c r="BQ124" s="20">
        <f t="shared" si="39"/>
        <v>91121.419869457328</v>
      </c>
      <c r="BR124" s="25">
        <f>VLOOKUP(BP124,'Hazard Weighting Functions'!$B$5:$G$1205,4,FALSE)</f>
        <v>1</v>
      </c>
      <c r="BS124" s="25">
        <f t="shared" si="60"/>
        <v>91121.419869457328</v>
      </c>
      <c r="BT124" s="25">
        <f t="shared" si="61"/>
        <v>511320.24562220334</v>
      </c>
      <c r="BV124" s="25">
        <f>VLOOKUP(BK124,'Hazard Weighting Functions'!$B$5:$G$1205,5,FALSE)</f>
        <v>0.32100000000000001</v>
      </c>
      <c r="BW124" s="25">
        <f t="shared" si="62"/>
        <v>29088.645378262729</v>
      </c>
      <c r="BX124" s="25">
        <f t="shared" si="63"/>
        <v>127913.27345850313</v>
      </c>
    </row>
    <row r="125" spans="2:76">
      <c r="B125" s="25">
        <v>392</v>
      </c>
      <c r="C125" s="36">
        <v>0.17046762592140996</v>
      </c>
      <c r="E125" s="25">
        <v>392</v>
      </c>
      <c r="F125" s="36"/>
      <c r="H125" s="25">
        <v>392</v>
      </c>
      <c r="I125" s="36"/>
      <c r="K125" s="25">
        <v>1480</v>
      </c>
      <c r="L125" s="36"/>
      <c r="N125" s="25">
        <v>630</v>
      </c>
      <c r="O125" s="36">
        <v>83308.166057126509</v>
      </c>
      <c r="Q125" s="20">
        <v>510</v>
      </c>
      <c r="R125" s="36">
        <v>113406.67837942403</v>
      </c>
      <c r="V125" s="25">
        <f t="shared" si="41"/>
        <v>392</v>
      </c>
      <c r="W125" s="25">
        <f t="shared" si="41"/>
        <v>0.17046762592140996</v>
      </c>
      <c r="Y125" s="25">
        <f t="shared" si="42"/>
        <v>392</v>
      </c>
      <c r="Z125" s="25">
        <f t="shared" si="42"/>
        <v>0.17046762592140996</v>
      </c>
      <c r="AA125" s="25">
        <f>VLOOKUP(Y125,'Hazard Weighting Functions'!$B$5:$G$1205,2,FALSE)</f>
        <v>4.1E-5</v>
      </c>
      <c r="AB125" s="25">
        <f t="shared" si="43"/>
        <v>6.9891726627778084E-6</v>
      </c>
      <c r="AC125" s="25">
        <f t="shared" si="44"/>
        <v>1.4477348224182373E-5</v>
      </c>
      <c r="AD125" s="25">
        <f t="shared" si="36"/>
        <v>0.37285074920261441</v>
      </c>
      <c r="AE125" s="25">
        <f>VLOOKUP(Y125,'Hazard Weighting Functions'!$B$5:$G$1205,3,FALSE)</f>
        <v>3.2987698000000003E-2</v>
      </c>
      <c r="AF125" s="25">
        <f t="shared" si="45"/>
        <v>5.623334562672444E-3</v>
      </c>
      <c r="AG125" s="25">
        <f t="shared" si="46"/>
        <v>1.4432571628022525E-2</v>
      </c>
      <c r="AH125" s="25">
        <f>VLOOKUP(Y125,'Hazard Weighting Functions'!$B$5:$G$1205,5,FALSE)</f>
        <v>1.504874129866466E-4</v>
      </c>
      <c r="AI125" s="25">
        <f t="shared" si="47"/>
        <v>2.5653232022888404E-5</v>
      </c>
      <c r="AJ125" s="25">
        <f t="shared" si="48"/>
        <v>6.4282048749708025E-5</v>
      </c>
      <c r="AM125" s="25">
        <f t="shared" si="65"/>
        <v>0.37285074920261441</v>
      </c>
      <c r="AP125" s="20">
        <f>'IEC_EN62471- LED non-GLS'!E175</f>
        <v>630</v>
      </c>
      <c r="AQ125" s="20">
        <f t="shared" si="49"/>
        <v>59.944511771245438</v>
      </c>
      <c r="AR125" s="25">
        <f>VLOOKUP(AP125,'Hazard Weighting Functions'!$B$5:$G$1205,3,FALSE)</f>
        <v>1E-3</v>
      </c>
      <c r="AS125" s="25">
        <f t="shared" si="50"/>
        <v>5.9944511771245441E-2</v>
      </c>
      <c r="AT125" s="25">
        <f t="shared" si="51"/>
        <v>0.28711163673571594</v>
      </c>
      <c r="AU125" s="20">
        <f t="shared" si="40"/>
        <v>630</v>
      </c>
      <c r="AV125" s="25">
        <f>O125</f>
        <v>83308.166057126509</v>
      </c>
      <c r="AW125" s="25">
        <f>VLOOKUP(AU125,'Hazard Weighting Functions'!$B$5:$G$1205,3,FALSE)</f>
        <v>1E-3</v>
      </c>
      <c r="AX125" s="25">
        <f t="shared" si="52"/>
        <v>83.308166057126513</v>
      </c>
      <c r="AY125" s="25">
        <f t="shared" si="53"/>
        <v>398.78727827295722</v>
      </c>
      <c r="AZ125" s="20">
        <f t="shared" si="37"/>
        <v>510</v>
      </c>
      <c r="BA125" s="20">
        <f t="shared" si="37"/>
        <v>113406.67837942403</v>
      </c>
      <c r="BB125" s="25">
        <f>VLOOKUP(AZ125,'Hazard Weighting Functions'!$B$5:$G$1205,3,FALSE)</f>
        <v>6.3E-2</v>
      </c>
      <c r="BC125" s="25">
        <f t="shared" si="54"/>
        <v>7144.6207379037141</v>
      </c>
      <c r="BD125" s="25">
        <f t="shared" si="55"/>
        <v>34547.027589074802</v>
      </c>
      <c r="BF125" s="20">
        <f t="shared" si="64"/>
        <v>830</v>
      </c>
      <c r="BG125" s="20">
        <f t="shared" si="64"/>
        <v>0</v>
      </c>
      <c r="BH125" s="25">
        <f>VLOOKUP(BF125,'Hazard Weighting Functions'!$B$5:$G$1205,4,FALSE)</f>
        <v>0.55000000000000004</v>
      </c>
      <c r="BI125" s="25">
        <f t="shared" si="57"/>
        <v>0</v>
      </c>
      <c r="BJ125" s="25">
        <f t="shared" si="58"/>
        <v>0</v>
      </c>
      <c r="BK125" s="1">
        <f t="shared" si="38"/>
        <v>630</v>
      </c>
      <c r="BL125" s="20">
        <f t="shared" si="38"/>
        <v>83308.166057126509</v>
      </c>
      <c r="BM125" s="25">
        <f>VLOOKUP(BK125,'Hazard Weighting Functions'!$B$5:$G$1205,4,FALSE)</f>
        <v>1</v>
      </c>
      <c r="BN125" s="25">
        <f t="shared" si="59"/>
        <v>83308.166057126509</v>
      </c>
      <c r="BO125" s="25">
        <f t="shared" si="34"/>
        <v>398787.27827295719</v>
      </c>
      <c r="BP125" s="20">
        <f t="shared" si="39"/>
        <v>510</v>
      </c>
      <c r="BQ125" s="20">
        <f t="shared" si="39"/>
        <v>113406.67837942403</v>
      </c>
      <c r="BR125" s="25">
        <f>VLOOKUP(BP125,'Hazard Weighting Functions'!$B$5:$G$1205,4,FALSE)</f>
        <v>1</v>
      </c>
      <c r="BS125" s="25">
        <f t="shared" si="60"/>
        <v>113406.67837942403</v>
      </c>
      <c r="BT125" s="25">
        <f t="shared" si="61"/>
        <v>617226.21083487046</v>
      </c>
      <c r="BV125" s="25">
        <f>VLOOKUP(BK125,'Hazard Weighting Functions'!$B$5:$G$1205,5,FALSE)</f>
        <v>0.26500000000000001</v>
      </c>
      <c r="BW125" s="25">
        <f t="shared" si="62"/>
        <v>22076.664005138526</v>
      </c>
      <c r="BX125" s="25">
        <f t="shared" si="63"/>
        <v>96533.819312086882</v>
      </c>
    </row>
    <row r="126" spans="2:76">
      <c r="B126" s="25">
        <v>394</v>
      </c>
      <c r="C126" s="36">
        <v>0.20238312328120447</v>
      </c>
      <c r="E126" s="25">
        <v>394</v>
      </c>
      <c r="F126" s="36"/>
      <c r="H126" s="25">
        <v>394</v>
      </c>
      <c r="I126" s="36"/>
      <c r="K126" s="25">
        <v>1485</v>
      </c>
      <c r="L126" s="36"/>
      <c r="N126" s="25">
        <v>635</v>
      </c>
      <c r="O126" s="36">
        <v>76206.745252056382</v>
      </c>
      <c r="Q126" s="20">
        <v>515</v>
      </c>
      <c r="R126" s="36">
        <v>133483.80595452417</v>
      </c>
      <c r="V126" s="25">
        <f t="shared" si="41"/>
        <v>394</v>
      </c>
      <c r="W126" s="25">
        <f t="shared" si="41"/>
        <v>0.20238312328120447</v>
      </c>
      <c r="Y126" s="25">
        <f t="shared" si="42"/>
        <v>394</v>
      </c>
      <c r="Z126" s="25">
        <f t="shared" si="42"/>
        <v>0.20238312328120447</v>
      </c>
      <c r="AA126" s="25">
        <f>VLOOKUP(Y126,'Hazard Weighting Functions'!$B$5:$G$1205,2,FALSE)</f>
        <v>3.6999999999999998E-5</v>
      </c>
      <c r="AB126" s="25">
        <f t="shared" si="43"/>
        <v>7.4881755614045653E-6</v>
      </c>
      <c r="AC126" s="25">
        <f t="shared" si="44"/>
        <v>1.7592442280707101E-5</v>
      </c>
      <c r="AD126" s="25">
        <f t="shared" si="36"/>
        <v>0.49107645811841982</v>
      </c>
      <c r="AE126" s="25">
        <f>VLOOKUP(Y126,'Hazard Weighting Functions'!$B$5:$G$1205,3,FALSE)</f>
        <v>4.3527528000000003E-2</v>
      </c>
      <c r="AF126" s="25">
        <f t="shared" si="45"/>
        <v>8.8092370653500805E-3</v>
      </c>
      <c r="AG126" s="25">
        <f t="shared" si="46"/>
        <v>2.539031507887209E-2</v>
      </c>
      <c r="AH126" s="25">
        <f>VLOOKUP(Y126,'Hazard Weighting Functions'!$B$5:$G$1205,5,FALSE)</f>
        <v>1.908697528753235E-4</v>
      </c>
      <c r="AI126" s="25">
        <f t="shared" si="47"/>
        <v>3.8628816726819628E-5</v>
      </c>
      <c r="AJ126" s="25">
        <f t="shared" si="48"/>
        <v>1.1019721460260666E-4</v>
      </c>
      <c r="AM126" s="25">
        <f t="shared" si="65"/>
        <v>0.49107645811841982</v>
      </c>
      <c r="AP126" s="20">
        <f>'IEC_EN62471- LED non-GLS'!E176</f>
        <v>635</v>
      </c>
      <c r="AQ126" s="20">
        <f t="shared" si="49"/>
        <v>54.900142923040939</v>
      </c>
      <c r="AR126" s="25">
        <f>VLOOKUP(AP126,'Hazard Weighting Functions'!$B$5:$G$1205,3,FALSE)</f>
        <v>1E-3</v>
      </c>
      <c r="AS126" s="25">
        <f t="shared" si="50"/>
        <v>5.4900142923040941E-2</v>
      </c>
      <c r="AT126" s="25">
        <f t="shared" si="51"/>
        <v>0.26279105418013227</v>
      </c>
      <c r="AU126" s="20">
        <f t="shared" si="40"/>
        <v>635</v>
      </c>
      <c r="AV126" s="25">
        <f>O126</f>
        <v>76206.745252056382</v>
      </c>
      <c r="AW126" s="25">
        <f>VLOOKUP(AU126,'Hazard Weighting Functions'!$B$5:$G$1205,3,FALSE)</f>
        <v>1E-3</v>
      </c>
      <c r="AX126" s="25">
        <f t="shared" si="52"/>
        <v>76.206745252056379</v>
      </c>
      <c r="AY126" s="25">
        <f t="shared" si="53"/>
        <v>363.02577717623012</v>
      </c>
      <c r="AZ126" s="20">
        <f t="shared" si="37"/>
        <v>515</v>
      </c>
      <c r="BA126" s="20">
        <f t="shared" si="37"/>
        <v>133483.80595452417</v>
      </c>
      <c r="BB126" s="25">
        <f>VLOOKUP(AZ126,'Hazard Weighting Functions'!$B$5:$G$1205,3,FALSE)</f>
        <v>0.05</v>
      </c>
      <c r="BC126" s="25">
        <f t="shared" si="54"/>
        <v>6674.1902977262089</v>
      </c>
      <c r="BD126" s="25">
        <f t="shared" si="55"/>
        <v>31809.707540128893</v>
      </c>
      <c r="BF126" s="20">
        <f t="shared" ref="BF126:BG141" si="66">H216</f>
        <v>835</v>
      </c>
      <c r="BG126" s="20">
        <f t="shared" si="66"/>
        <v>0</v>
      </c>
      <c r="BH126" s="25">
        <f>VLOOKUP(BF126,'Hazard Weighting Functions'!$B$5:$G$1205,4,FALSE)</f>
        <v>0.53700000000000003</v>
      </c>
      <c r="BI126" s="25">
        <f t="shared" si="57"/>
        <v>0</v>
      </c>
      <c r="BJ126" s="25">
        <f t="shared" si="58"/>
        <v>0</v>
      </c>
      <c r="BK126" s="1">
        <f t="shared" si="38"/>
        <v>635</v>
      </c>
      <c r="BL126" s="20">
        <f t="shared" si="38"/>
        <v>76206.745252056382</v>
      </c>
      <c r="BM126" s="25">
        <f>VLOOKUP(BK126,'Hazard Weighting Functions'!$B$5:$G$1205,4,FALSE)</f>
        <v>1</v>
      </c>
      <c r="BN126" s="25">
        <f t="shared" si="59"/>
        <v>76206.745252056382</v>
      </c>
      <c r="BO126" s="25">
        <f t="shared" si="34"/>
        <v>363025.77717623004</v>
      </c>
      <c r="BP126" s="20">
        <f t="shared" si="39"/>
        <v>515</v>
      </c>
      <c r="BQ126" s="20">
        <f t="shared" si="39"/>
        <v>133483.80595452417</v>
      </c>
      <c r="BR126" s="25">
        <f>VLOOKUP(BP126,'Hazard Weighting Functions'!$B$5:$G$1205,4,FALSE)</f>
        <v>1</v>
      </c>
      <c r="BS126" s="25">
        <f t="shared" si="60"/>
        <v>133483.80595452417</v>
      </c>
      <c r="BT126" s="25">
        <f t="shared" si="61"/>
        <v>711815.30978164461</v>
      </c>
      <c r="BV126" s="25">
        <f>VLOOKUP(BK126,'Hazard Weighting Functions'!$B$5:$G$1205,5,FALSE)</f>
        <v>0.217</v>
      </c>
      <c r="BW126" s="25">
        <f t="shared" si="62"/>
        <v>16536.863719696234</v>
      </c>
      <c r="BX126" s="25">
        <f t="shared" si="63"/>
        <v>71531.219257306191</v>
      </c>
    </row>
    <row r="127" spans="2:76">
      <c r="B127" s="25">
        <v>396</v>
      </c>
      <c r="C127" s="36">
        <v>0.28869333483721538</v>
      </c>
      <c r="E127" s="25">
        <v>396</v>
      </c>
      <c r="F127" s="36"/>
      <c r="H127" s="25">
        <v>396</v>
      </c>
      <c r="I127" s="36"/>
      <c r="K127" s="25">
        <v>1490</v>
      </c>
      <c r="L127" s="36"/>
      <c r="N127" s="25">
        <v>640</v>
      </c>
      <c r="O127" s="36">
        <v>69003.565618435649</v>
      </c>
      <c r="Q127" s="20">
        <v>520</v>
      </c>
      <c r="R127" s="36">
        <v>151242.31795813367</v>
      </c>
      <c r="V127" s="25">
        <f t="shared" si="41"/>
        <v>396</v>
      </c>
      <c r="W127" s="25">
        <f t="shared" si="41"/>
        <v>0.28869333483721538</v>
      </c>
      <c r="Y127" s="25">
        <f t="shared" si="42"/>
        <v>396</v>
      </c>
      <c r="Z127" s="25">
        <f t="shared" si="42"/>
        <v>0.28869333483721538</v>
      </c>
      <c r="AA127" s="25">
        <f>VLOOKUP(Y127,'Hazard Weighting Functions'!$B$5:$G$1205,2,FALSE)</f>
        <v>3.4999999999999997E-5</v>
      </c>
      <c r="AB127" s="25">
        <f t="shared" si="43"/>
        <v>1.0104266719302537E-5</v>
      </c>
      <c r="AC127" s="25">
        <f t="shared" si="44"/>
        <v>2.465492694460387E-5</v>
      </c>
      <c r="AD127" s="25">
        <f t="shared" si="36"/>
        <v>0.74340146687788211</v>
      </c>
      <c r="AE127" s="25">
        <f>VLOOKUP(Y127,'Hazard Weighting Functions'!$B$5:$G$1205,3,FALSE)</f>
        <v>5.7434918000000001E-2</v>
      </c>
      <c r="AF127" s="25">
        <f t="shared" si="45"/>
        <v>1.6581078013522009E-2</v>
      </c>
      <c r="AG127" s="25">
        <f t="shared" si="46"/>
        <v>5.1041510298557267E-2</v>
      </c>
      <c r="AH127" s="25">
        <f>VLOOKUP(Y127,'Hazard Weighting Functions'!$B$5:$G$1205,5,FALSE)</f>
        <v>2.4790457291347612E-4</v>
      </c>
      <c r="AI127" s="25">
        <f t="shared" si="47"/>
        <v>7.1568397875787035E-5</v>
      </c>
      <c r="AJ127" s="25">
        <f t="shared" si="48"/>
        <v>2.1696453018087023E-4</v>
      </c>
      <c r="AM127" s="25">
        <f t="shared" si="65"/>
        <v>0.74340146687788211</v>
      </c>
      <c r="AP127" s="20">
        <f>'IEC_EN62471- LED non-GLS'!E177</f>
        <v>640</v>
      </c>
      <c r="AQ127" s="20">
        <f t="shared" si="49"/>
        <v>50.21627874901197</v>
      </c>
      <c r="AR127" s="25">
        <f>VLOOKUP(AP127,'Hazard Weighting Functions'!$B$5:$G$1205,3,FALSE)</f>
        <v>1E-3</v>
      </c>
      <c r="AS127" s="25">
        <f t="shared" si="50"/>
        <v>5.0216278749011974E-2</v>
      </c>
      <c r="AT127" s="25">
        <f t="shared" si="51"/>
        <v>0.23995362749903776</v>
      </c>
      <c r="AU127" s="20">
        <f t="shared" si="40"/>
        <v>640</v>
      </c>
      <c r="AV127" s="25">
        <f>O127</f>
        <v>69003.565618435649</v>
      </c>
      <c r="AW127" s="25">
        <f>VLOOKUP(AU127,'Hazard Weighting Functions'!$B$5:$G$1205,3,FALSE)</f>
        <v>1E-3</v>
      </c>
      <c r="AX127" s="25">
        <f t="shared" si="52"/>
        <v>69.003565618435644</v>
      </c>
      <c r="AY127" s="25">
        <f t="shared" si="53"/>
        <v>329.31879972811174</v>
      </c>
      <c r="AZ127" s="20">
        <f t="shared" si="37"/>
        <v>520</v>
      </c>
      <c r="BA127" s="20">
        <f t="shared" si="37"/>
        <v>151242.31795813367</v>
      </c>
      <c r="BB127" s="25">
        <f>VLOOKUP(AZ127,'Hazard Weighting Functions'!$B$5:$G$1205,3,FALSE)</f>
        <v>0.04</v>
      </c>
      <c r="BC127" s="25">
        <f t="shared" si="54"/>
        <v>6049.6927183253474</v>
      </c>
      <c r="BD127" s="25">
        <f t="shared" si="55"/>
        <v>28292.248710537133</v>
      </c>
      <c r="BF127" s="20">
        <f t="shared" si="66"/>
        <v>840</v>
      </c>
      <c r="BG127" s="20">
        <f t="shared" si="66"/>
        <v>0</v>
      </c>
      <c r="BH127" s="25">
        <f>VLOOKUP(BF127,'Hazard Weighting Functions'!$B$5:$G$1205,4,FALSE)</f>
        <v>0.52500000000000002</v>
      </c>
      <c r="BI127" s="25">
        <f t="shared" si="57"/>
        <v>0</v>
      </c>
      <c r="BJ127" s="25">
        <f t="shared" si="58"/>
        <v>0</v>
      </c>
      <c r="BK127" s="1">
        <f t="shared" si="38"/>
        <v>640</v>
      </c>
      <c r="BL127" s="20">
        <f t="shared" si="38"/>
        <v>69003.565618435649</v>
      </c>
      <c r="BM127" s="25">
        <f>VLOOKUP(BK127,'Hazard Weighting Functions'!$B$5:$G$1205,4,FALSE)</f>
        <v>1</v>
      </c>
      <c r="BN127" s="25">
        <f t="shared" si="59"/>
        <v>69003.565618435649</v>
      </c>
      <c r="BO127" s="25">
        <f t="shared" si="34"/>
        <v>329318.79972811171</v>
      </c>
      <c r="BP127" s="20">
        <f t="shared" si="39"/>
        <v>520</v>
      </c>
      <c r="BQ127" s="20">
        <f t="shared" si="39"/>
        <v>151242.31795813367</v>
      </c>
      <c r="BR127" s="25">
        <f>VLOOKUP(BP127,'Hazard Weighting Functions'!$B$5:$G$1205,4,FALSE)</f>
        <v>1</v>
      </c>
      <c r="BS127" s="25">
        <f t="shared" si="60"/>
        <v>151242.31795813367</v>
      </c>
      <c r="BT127" s="25">
        <f t="shared" si="61"/>
        <v>789606.32348045183</v>
      </c>
      <c r="BV127" s="25">
        <f>VLOOKUP(BK127,'Hazard Weighting Functions'!$B$5:$G$1205,5,FALSE)</f>
        <v>0.17499999999999999</v>
      </c>
      <c r="BW127" s="25">
        <f t="shared" si="62"/>
        <v>12075.623983226238</v>
      </c>
      <c r="BX127" s="25">
        <f t="shared" si="63"/>
        <v>51860.186159321107</v>
      </c>
    </row>
    <row r="128" spans="2:76">
      <c r="B128" s="25">
        <v>398</v>
      </c>
      <c r="C128" s="36">
        <v>0.45470813204066673</v>
      </c>
      <c r="E128" s="25">
        <v>398</v>
      </c>
      <c r="F128" s="36"/>
      <c r="H128" s="25">
        <v>398</v>
      </c>
      <c r="I128" s="36"/>
      <c r="K128" s="25">
        <v>1495</v>
      </c>
      <c r="L128" s="36"/>
      <c r="N128" s="25">
        <v>645</v>
      </c>
      <c r="O128" s="36">
        <v>62723.954272809038</v>
      </c>
      <c r="Q128" s="20">
        <v>525</v>
      </c>
      <c r="R128" s="36">
        <v>164600.21143404709</v>
      </c>
      <c r="V128" s="25">
        <f t="shared" si="41"/>
        <v>398</v>
      </c>
      <c r="W128" s="25">
        <f t="shared" si="41"/>
        <v>0.45470813204066673</v>
      </c>
      <c r="Y128" s="25">
        <f t="shared" si="42"/>
        <v>398</v>
      </c>
      <c r="Z128" s="25">
        <f t="shared" si="42"/>
        <v>0.45470813204066673</v>
      </c>
      <c r="AA128" s="25">
        <f>VLOOKUP(Y128,'Hazard Weighting Functions'!$B$5:$G$1205,2,FALSE)</f>
        <v>3.1999999999999999E-5</v>
      </c>
      <c r="AB128" s="25">
        <f t="shared" si="43"/>
        <v>1.4550660225301335E-5</v>
      </c>
      <c r="AC128" s="25">
        <f t="shared" si="44"/>
        <v>3.485493444359973E-5</v>
      </c>
      <c r="AD128" s="25">
        <f>0.5*(Y129-Y128)*(Z128+Z129)</f>
        <v>1.1315172726506133</v>
      </c>
      <c r="AE128" s="25">
        <f>VLOOKUP(Y128,'Hazard Weighting Functions'!$B$5:$G$1205,3,FALSE)</f>
        <v>7.5785828E-2</v>
      </c>
      <c r="AF128" s="25">
        <f t="shared" si="45"/>
        <v>3.4460432285035258E-2</v>
      </c>
      <c r="AG128" s="25">
        <f t="shared" si="46"/>
        <v>0.10214134634602991</v>
      </c>
      <c r="AH128" s="25">
        <f>VLOOKUP(Y128,'Hazard Weighting Functions'!$B$5:$G$1205,5,FALSE)</f>
        <v>3.1975705306295181E-4</v>
      </c>
      <c r="AI128" s="25">
        <f t="shared" si="47"/>
        <v>1.4539613230508318E-4</v>
      </c>
      <c r="AJ128" s="25">
        <f t="shared" si="48"/>
        <v>4.1341255198662198E-4</v>
      </c>
      <c r="AM128" s="25">
        <f t="shared" si="65"/>
        <v>1.1315172726506133</v>
      </c>
      <c r="AP128" s="20">
        <f>'IEC_EN62471- LED non-GLS'!E178</f>
        <v>645</v>
      </c>
      <c r="AQ128" s="20">
        <f t="shared" si="49"/>
        <v>45.765172250603129</v>
      </c>
      <c r="AR128" s="25">
        <f>VLOOKUP(AP128,'Hazard Weighting Functions'!$B$5:$G$1205,3,FALSE)</f>
        <v>1E-3</v>
      </c>
      <c r="AS128" s="25">
        <f t="shared" si="50"/>
        <v>4.5765172250603128E-2</v>
      </c>
      <c r="AT128" s="25">
        <f t="shared" si="51"/>
        <v>0.21809267692434586</v>
      </c>
      <c r="AU128" s="20">
        <f t="shared" si="40"/>
        <v>645</v>
      </c>
      <c r="AV128" s="25">
        <f>O128</f>
        <v>62723.954272809038</v>
      </c>
      <c r="AW128" s="25">
        <f>VLOOKUP(AU128,'Hazard Weighting Functions'!$B$5:$G$1205,3,FALSE)</f>
        <v>1E-3</v>
      </c>
      <c r="AX128" s="25">
        <f t="shared" si="52"/>
        <v>62.723954272809038</v>
      </c>
      <c r="AY128" s="25">
        <f t="shared" si="53"/>
        <v>298.77777044469883</v>
      </c>
      <c r="AZ128" s="20">
        <f t="shared" si="37"/>
        <v>525</v>
      </c>
      <c r="BA128" s="20">
        <f t="shared" si="37"/>
        <v>164600.21143404709</v>
      </c>
      <c r="BB128" s="25">
        <f>VLOOKUP(AZ128,'Hazard Weighting Functions'!$B$5:$G$1205,3,FALSE)</f>
        <v>3.2000000000000001E-2</v>
      </c>
      <c r="BC128" s="25">
        <f t="shared" si="54"/>
        <v>5267.2067658895066</v>
      </c>
      <c r="BD128" s="25">
        <f t="shared" si="55"/>
        <v>24085.776672394102</v>
      </c>
      <c r="BF128" s="20">
        <f t="shared" si="66"/>
        <v>845</v>
      </c>
      <c r="BG128" s="20">
        <f t="shared" si="66"/>
        <v>0</v>
      </c>
      <c r="BH128" s="25">
        <f>VLOOKUP(BF128,'Hazard Weighting Functions'!$B$5:$G$1205,4,FALSE)</f>
        <v>0.51300000000000001</v>
      </c>
      <c r="BI128" s="25">
        <f t="shared" si="57"/>
        <v>0</v>
      </c>
      <c r="BJ128" s="25">
        <f t="shared" si="58"/>
        <v>0</v>
      </c>
      <c r="BK128" s="1">
        <f t="shared" si="38"/>
        <v>645</v>
      </c>
      <c r="BL128" s="20">
        <f t="shared" si="38"/>
        <v>62723.954272809038</v>
      </c>
      <c r="BM128" s="25">
        <f>VLOOKUP(BK128,'Hazard Weighting Functions'!$B$5:$G$1205,4,FALSE)</f>
        <v>1</v>
      </c>
      <c r="BN128" s="25">
        <f t="shared" si="59"/>
        <v>62723.954272809038</v>
      </c>
      <c r="BO128" s="25">
        <f t="shared" si="34"/>
        <v>298777.77044469886</v>
      </c>
      <c r="BP128" s="20">
        <f t="shared" si="39"/>
        <v>525</v>
      </c>
      <c r="BQ128" s="20">
        <f t="shared" si="39"/>
        <v>164600.21143404709</v>
      </c>
      <c r="BR128" s="25">
        <f>VLOOKUP(BP128,'Hazard Weighting Functions'!$B$5:$G$1205,4,FALSE)</f>
        <v>1</v>
      </c>
      <c r="BS128" s="25">
        <f t="shared" si="60"/>
        <v>164600.21143404709</v>
      </c>
      <c r="BT128" s="25">
        <f t="shared" si="61"/>
        <v>848210.91889193107</v>
      </c>
      <c r="BV128" s="25">
        <f>VLOOKUP(BK128,'Hazard Weighting Functions'!$B$5:$G$1205,5,FALSE)</f>
        <v>0.13819999999999999</v>
      </c>
      <c r="BW128" s="25">
        <f t="shared" si="62"/>
        <v>8668.4504805022079</v>
      </c>
      <c r="BX128" s="25">
        <f t="shared" si="63"/>
        <v>36861.689870861876</v>
      </c>
    </row>
    <row r="129" spans="2:76">
      <c r="B129" s="25">
        <v>400</v>
      </c>
      <c r="C129" s="36">
        <v>0.67680914060994646</v>
      </c>
      <c r="E129" s="25">
        <v>400</v>
      </c>
      <c r="F129" s="36"/>
      <c r="H129" s="25">
        <v>400</v>
      </c>
      <c r="I129" s="36"/>
      <c r="K129" s="25">
        <v>1500</v>
      </c>
      <c r="L129" s="36"/>
      <c r="N129" s="25">
        <v>650</v>
      </c>
      <c r="O129" s="36">
        <v>56787.153905070489</v>
      </c>
      <c r="Q129" s="20">
        <v>530</v>
      </c>
      <c r="R129" s="36">
        <v>174684.15612272534</v>
      </c>
      <c r="V129" s="25">
        <f t="shared" si="41"/>
        <v>400</v>
      </c>
      <c r="W129" s="25">
        <f t="shared" si="41"/>
        <v>0.67680914060994646</v>
      </c>
      <c r="Y129" s="25">
        <f t="shared" si="42"/>
        <v>400</v>
      </c>
      <c r="Z129" s="25">
        <f t="shared" si="42"/>
        <v>0.67680914060994646</v>
      </c>
      <c r="AA129" s="25">
        <f>VLOOKUP(Y129,'Hazard Weighting Functions'!$B$5:$G$1205,2,FALSE)</f>
        <v>3.0000000000000001E-5</v>
      </c>
      <c r="AB129" s="25">
        <f t="shared" si="43"/>
        <v>2.0304274218298395E-5</v>
      </c>
      <c r="AE129" s="25">
        <f>VLOOKUP(Y129,'Hazard Weighting Functions'!$B$5:$G$1205,3,FALSE)</f>
        <v>0.1</v>
      </c>
      <c r="AF129" s="25">
        <f t="shared" si="45"/>
        <v>6.7680914060994649E-2</v>
      </c>
      <c r="AG129" s="25">
        <f t="shared" si="46"/>
        <v>1.046613675595558</v>
      </c>
      <c r="AH129" s="25">
        <f>VLOOKUP(Y129,'Hazard Weighting Functions'!$B$5:$G$1205,5,FALSE)</f>
        <v>3.9599999999999998E-4</v>
      </c>
      <c r="AI129" s="25">
        <f t="shared" si="47"/>
        <v>2.6801641968153881E-4</v>
      </c>
      <c r="AJ129" s="25">
        <f t="shared" si="48"/>
        <v>3.4777574986216749E-3</v>
      </c>
      <c r="AM129" s="25">
        <f t="shared" si="65"/>
        <v>6.0790798037402229</v>
      </c>
      <c r="AP129" s="20">
        <f>'IEC_EN62471- LED non-GLS'!E179</f>
        <v>650</v>
      </c>
      <c r="AQ129" s="20">
        <f t="shared" si="49"/>
        <v>41.471898519135216</v>
      </c>
      <c r="AR129" s="25">
        <f>VLOOKUP(AP129,'Hazard Weighting Functions'!$B$5:$G$1205,3,FALSE)</f>
        <v>1E-3</v>
      </c>
      <c r="AS129" s="25">
        <f t="shared" si="50"/>
        <v>4.1471898519135214E-2</v>
      </c>
      <c r="AT129" s="25">
        <f t="shared" si="51"/>
        <v>0.19747073083781291</v>
      </c>
      <c r="AU129" s="20">
        <f t="shared" si="40"/>
        <v>650</v>
      </c>
      <c r="AV129" s="25">
        <f>O129</f>
        <v>56787.153905070489</v>
      </c>
      <c r="AW129" s="25">
        <f>VLOOKUP(AU129,'Hazard Weighting Functions'!$B$5:$G$1205,3,FALSE)</f>
        <v>1E-3</v>
      </c>
      <c r="AX129" s="25">
        <f t="shared" si="52"/>
        <v>56.78715390507049</v>
      </c>
      <c r="AY129" s="25">
        <f t="shared" si="53"/>
        <v>270.22223947270697</v>
      </c>
      <c r="AZ129" s="20">
        <f t="shared" si="37"/>
        <v>530</v>
      </c>
      <c r="BA129" s="20">
        <f t="shared" si="37"/>
        <v>174684.15612272534</v>
      </c>
      <c r="BB129" s="25">
        <f>VLOOKUP(AZ129,'Hazard Weighting Functions'!$B$5:$G$1205,3,FALSE)</f>
        <v>2.5000000000000001E-2</v>
      </c>
      <c r="BC129" s="25">
        <f t="shared" si="54"/>
        <v>4367.1039030681341</v>
      </c>
      <c r="BD129" s="25">
        <f t="shared" si="55"/>
        <v>19993.523168694814</v>
      </c>
      <c r="BF129" s="20">
        <f t="shared" si="66"/>
        <v>850</v>
      </c>
      <c r="BG129" s="20">
        <f t="shared" si="66"/>
        <v>0</v>
      </c>
      <c r="BH129" s="25">
        <f>VLOOKUP(BF129,'Hazard Weighting Functions'!$B$5:$G$1205,4,FALSE)</f>
        <v>0.501</v>
      </c>
      <c r="BI129" s="25">
        <f t="shared" si="57"/>
        <v>0</v>
      </c>
      <c r="BJ129" s="25">
        <f t="shared" si="58"/>
        <v>0</v>
      </c>
      <c r="BK129" s="1">
        <f t="shared" si="38"/>
        <v>650</v>
      </c>
      <c r="BL129" s="20">
        <f t="shared" si="38"/>
        <v>56787.153905070489</v>
      </c>
      <c r="BM129" s="25">
        <f>VLOOKUP(BK129,'Hazard Weighting Functions'!$B$5:$G$1205,4,FALSE)</f>
        <v>1</v>
      </c>
      <c r="BN129" s="25">
        <f t="shared" si="59"/>
        <v>56787.153905070489</v>
      </c>
      <c r="BO129" s="25">
        <f t="shared" si="34"/>
        <v>270222.23947270692</v>
      </c>
      <c r="BP129" s="20">
        <f t="shared" si="39"/>
        <v>530</v>
      </c>
      <c r="BQ129" s="20">
        <f t="shared" si="39"/>
        <v>174684.15612272534</v>
      </c>
      <c r="BR129" s="25">
        <f>VLOOKUP(BP129,'Hazard Weighting Functions'!$B$5:$G$1205,4,FALSE)</f>
        <v>1</v>
      </c>
      <c r="BS129" s="25">
        <f t="shared" si="60"/>
        <v>174684.15612272534</v>
      </c>
      <c r="BT129" s="25">
        <f t="shared" si="61"/>
        <v>890498.56085803732</v>
      </c>
      <c r="BV129" s="25">
        <f>VLOOKUP(BK129,'Hazard Weighting Functions'!$B$5:$G$1205,5,FALSE)</f>
        <v>0.107</v>
      </c>
      <c r="BW129" s="25">
        <f t="shared" si="62"/>
        <v>6076.2254678425425</v>
      </c>
      <c r="BX129" s="25">
        <f t="shared" si="63"/>
        <v>25656.119013944863</v>
      </c>
    </row>
    <row r="130" spans="2:76">
      <c r="B130" s="25">
        <v>405</v>
      </c>
      <c r="C130" s="36">
        <v>1.7548227808861427</v>
      </c>
      <c r="E130" s="25">
        <v>405</v>
      </c>
      <c r="F130" s="36"/>
      <c r="H130" s="25">
        <v>405</v>
      </c>
      <c r="I130" s="36"/>
      <c r="K130" s="25">
        <v>1505</v>
      </c>
      <c r="L130" s="36"/>
      <c r="N130" s="25">
        <v>655</v>
      </c>
      <c r="O130" s="36">
        <v>51301.741884012292</v>
      </c>
      <c r="Q130" s="20">
        <v>535</v>
      </c>
      <c r="R130" s="36">
        <v>181515.26822048958</v>
      </c>
      <c r="V130" s="25">
        <f t="shared" si="41"/>
        <v>405</v>
      </c>
      <c r="W130" s="25">
        <f t="shared" si="41"/>
        <v>1.7548227808861427</v>
      </c>
      <c r="Y130" s="25">
        <f t="shared" si="42"/>
        <v>405</v>
      </c>
      <c r="Z130" s="25">
        <f t="shared" si="42"/>
        <v>1.7548227808861427</v>
      </c>
      <c r="AA130" s="25">
        <f>VLOOKUP(Y130,'Hazard Weighting Functions'!$B$5:$G$1205,2,FALSE)</f>
        <v>0</v>
      </c>
      <c r="AB130" s="25">
        <f t="shared" si="43"/>
        <v>0</v>
      </c>
      <c r="AC130" s="25">
        <f t="shared" si="44"/>
        <v>0</v>
      </c>
      <c r="AE130" s="25">
        <f>VLOOKUP(Y130,'Hazard Weighting Functions'!$B$5:$G$1205,3,FALSE)</f>
        <v>0.2</v>
      </c>
      <c r="AF130" s="25">
        <f t="shared" si="45"/>
        <v>0.35096455617722855</v>
      </c>
      <c r="AG130" s="25">
        <f t="shared" si="46"/>
        <v>5.4700311829118551</v>
      </c>
      <c r="AH130" s="25">
        <f>VLOOKUP(Y130,'Hazard Weighting Functions'!$B$5:$G$1205,5,FALSE)</f>
        <v>6.4000000000000005E-4</v>
      </c>
      <c r="AI130" s="25">
        <f t="shared" si="47"/>
        <v>1.1230865797671314E-3</v>
      </c>
      <c r="AJ130" s="25">
        <f t="shared" si="48"/>
        <v>1.67003913216359E-2</v>
      </c>
      <c r="AM130" s="25">
        <f t="shared" si="65"/>
        <v>15.868606433387317</v>
      </c>
      <c r="AP130" s="20">
        <f>'IEC_EN62471- LED non-GLS'!E180</f>
        <v>655</v>
      </c>
      <c r="AQ130" s="20">
        <f t="shared" si="49"/>
        <v>37.51639381598995</v>
      </c>
      <c r="AR130" s="25">
        <f>VLOOKUP(AP130,'Hazard Weighting Functions'!$B$5:$G$1205,3,FALSE)</f>
        <v>1E-3</v>
      </c>
      <c r="AS130" s="25">
        <f t="shared" si="50"/>
        <v>3.7516393815989951E-2</v>
      </c>
      <c r="AT130" s="25">
        <f t="shared" si="51"/>
        <v>0.17835659872598539</v>
      </c>
      <c r="AU130" s="20">
        <f t="shared" si="40"/>
        <v>655</v>
      </c>
      <c r="AV130" s="25">
        <f>O130</f>
        <v>51301.741884012292</v>
      </c>
      <c r="AW130" s="25">
        <f>VLOOKUP(AU130,'Hazard Weighting Functions'!$B$5:$G$1205,3,FALSE)</f>
        <v>1E-3</v>
      </c>
      <c r="AX130" s="25">
        <f t="shared" si="52"/>
        <v>51.301741884012294</v>
      </c>
      <c r="AY130" s="25">
        <f t="shared" si="53"/>
        <v>242.92955838599471</v>
      </c>
      <c r="AZ130" s="20">
        <f t="shared" si="37"/>
        <v>535</v>
      </c>
      <c r="BA130" s="20">
        <f t="shared" si="37"/>
        <v>181515.26822048958</v>
      </c>
      <c r="BB130" s="25">
        <f>VLOOKUP(AZ130,'Hazard Weighting Functions'!$B$5:$G$1205,3,FALSE)</f>
        <v>0.02</v>
      </c>
      <c r="BC130" s="25">
        <f t="shared" si="54"/>
        <v>3630.3053644097918</v>
      </c>
      <c r="BD130" s="25">
        <f t="shared" si="55"/>
        <v>16509.60146204245</v>
      </c>
      <c r="BF130" s="20">
        <f t="shared" si="66"/>
        <v>855</v>
      </c>
      <c r="BG130" s="20">
        <f t="shared" si="66"/>
        <v>0</v>
      </c>
      <c r="BH130" s="25">
        <f>VLOOKUP(BF130,'Hazard Weighting Functions'!$B$5:$G$1205,4,FALSE)</f>
        <v>0.49</v>
      </c>
      <c r="BI130" s="25">
        <f t="shared" si="57"/>
        <v>0</v>
      </c>
      <c r="BJ130" s="25">
        <f t="shared" si="58"/>
        <v>0</v>
      </c>
      <c r="BK130" s="1">
        <f t="shared" si="38"/>
        <v>655</v>
      </c>
      <c r="BL130" s="20">
        <f t="shared" si="38"/>
        <v>51301.741884012292</v>
      </c>
      <c r="BM130" s="25">
        <f>VLOOKUP(BK130,'Hazard Weighting Functions'!$B$5:$G$1205,4,FALSE)</f>
        <v>1</v>
      </c>
      <c r="BN130" s="25">
        <f t="shared" si="59"/>
        <v>51301.741884012292</v>
      </c>
      <c r="BO130" s="25">
        <f t="shared" si="34"/>
        <v>242929.55838599472</v>
      </c>
      <c r="BP130" s="20">
        <f t="shared" si="39"/>
        <v>535</v>
      </c>
      <c r="BQ130" s="20">
        <f t="shared" si="39"/>
        <v>181515.26822048958</v>
      </c>
      <c r="BR130" s="25">
        <f>VLOOKUP(BP130,'Hazard Weighting Functions'!$B$5:$G$1205,4,FALSE)</f>
        <v>1</v>
      </c>
      <c r="BS130" s="25">
        <f t="shared" si="60"/>
        <v>181515.26822048958</v>
      </c>
      <c r="BT130" s="25">
        <f t="shared" si="61"/>
        <v>918403.04873984715</v>
      </c>
      <c r="BV130" s="25">
        <f>VLOOKUP(BK130,'Hazard Weighting Functions'!$B$5:$G$1205,5,FALSE)</f>
        <v>8.1600000000000006E-2</v>
      </c>
      <c r="BW130" s="25">
        <f t="shared" si="62"/>
        <v>4186.2221377354035</v>
      </c>
      <c r="BX130" s="25">
        <f t="shared" si="63"/>
        <v>17460.742768572312</v>
      </c>
    </row>
    <row r="131" spans="2:76">
      <c r="B131" s="25">
        <v>410</v>
      </c>
      <c r="C131" s="36">
        <v>4.5926197924687839</v>
      </c>
      <c r="E131" s="25">
        <v>410</v>
      </c>
      <c r="F131" s="36"/>
      <c r="H131" s="25">
        <v>410</v>
      </c>
      <c r="I131" s="36"/>
      <c r="K131" s="25">
        <v>1510</v>
      </c>
      <c r="L131" s="36"/>
      <c r="N131" s="25">
        <v>660</v>
      </c>
      <c r="O131" s="36">
        <v>45870.081470385594</v>
      </c>
      <c r="Q131" s="20">
        <v>540</v>
      </c>
      <c r="R131" s="36">
        <v>185845.95127544925</v>
      </c>
      <c r="V131" s="25">
        <f t="shared" si="41"/>
        <v>410</v>
      </c>
      <c r="W131" s="25">
        <f t="shared" si="41"/>
        <v>4.5926197924687839</v>
      </c>
      <c r="Y131" s="25">
        <f t="shared" si="42"/>
        <v>410</v>
      </c>
      <c r="Z131" s="25">
        <f t="shared" si="42"/>
        <v>4.5926197924687839</v>
      </c>
      <c r="AA131" s="25">
        <f>VLOOKUP(Y131,'Hazard Weighting Functions'!$B$5:$G$1205,2,FALSE)</f>
        <v>0</v>
      </c>
      <c r="AB131" s="25">
        <f t="shared" si="43"/>
        <v>0</v>
      </c>
      <c r="AC131" s="25">
        <f t="shared" si="44"/>
        <v>0</v>
      </c>
      <c r="AE131" s="25">
        <f>VLOOKUP(Y131,'Hazard Weighting Functions'!$B$5:$G$1205,3,FALSE)</f>
        <v>0.4</v>
      </c>
      <c r="AF131" s="25">
        <f t="shared" si="45"/>
        <v>1.8370479169875136</v>
      </c>
      <c r="AG131" s="25">
        <f t="shared" si="46"/>
        <v>27.251814536258443</v>
      </c>
      <c r="AH131" s="25">
        <f>VLOOKUP(Y131,'Hazard Weighting Functions'!$B$5:$G$1205,5,FALSE)</f>
        <v>1.2099999999999999E-3</v>
      </c>
      <c r="AI131" s="25">
        <f t="shared" si="47"/>
        <v>5.5570699488872279E-3</v>
      </c>
      <c r="AJ131" s="25">
        <f t="shared" si="48"/>
        <v>7.5638980549044901E-2</v>
      </c>
      <c r="AM131" s="25">
        <f t="shared" si="65"/>
        <v>39.80554291090904</v>
      </c>
      <c r="AP131" s="20">
        <f>'IEC_EN62471- LED non-GLS'!E181</f>
        <v>660</v>
      </c>
      <c r="AQ131" s="20">
        <f t="shared" si="49"/>
        <v>33.826245674404205</v>
      </c>
      <c r="AR131" s="25">
        <f>VLOOKUP(AP131,'Hazard Weighting Functions'!$B$5:$G$1205,3,FALSE)</f>
        <v>1E-3</v>
      </c>
      <c r="AS131" s="25">
        <f t="shared" si="50"/>
        <v>3.3826245674404204E-2</v>
      </c>
      <c r="AT131" s="25">
        <f t="shared" si="51"/>
        <v>0.16052144636234378</v>
      </c>
      <c r="AU131" s="20">
        <f t="shared" si="40"/>
        <v>660</v>
      </c>
      <c r="AV131" s="25">
        <f>O131</f>
        <v>45870.081470385594</v>
      </c>
      <c r="AW131" s="25">
        <f>VLOOKUP(AU131,'Hazard Weighting Functions'!$B$5:$G$1205,3,FALSE)</f>
        <v>1E-3</v>
      </c>
      <c r="AX131" s="25">
        <f t="shared" si="52"/>
        <v>45.870081470385593</v>
      </c>
      <c r="AY131" s="25">
        <f t="shared" si="53"/>
        <v>217.25725014415815</v>
      </c>
      <c r="AZ131" s="20">
        <f t="shared" si="37"/>
        <v>540</v>
      </c>
      <c r="BA131" s="20">
        <f t="shared" si="37"/>
        <v>185845.95127544925</v>
      </c>
      <c r="BB131" s="25">
        <f>VLOOKUP(AZ131,'Hazard Weighting Functions'!$B$5:$G$1205,3,FALSE)</f>
        <v>1.6E-2</v>
      </c>
      <c r="BC131" s="25">
        <f t="shared" si="54"/>
        <v>2973.5352204071878</v>
      </c>
      <c r="BD131" s="25">
        <f t="shared" si="55"/>
        <v>13522.821645476297</v>
      </c>
      <c r="BF131" s="20">
        <f t="shared" si="66"/>
        <v>860</v>
      </c>
      <c r="BG131" s="20">
        <f t="shared" si="66"/>
        <v>0</v>
      </c>
      <c r="BH131" s="25">
        <f>VLOOKUP(BF131,'Hazard Weighting Functions'!$B$5:$G$1205,4,FALSE)</f>
        <v>0.47899999999999998</v>
      </c>
      <c r="BI131" s="25">
        <f t="shared" si="57"/>
        <v>0</v>
      </c>
      <c r="BJ131" s="25">
        <f t="shared" si="58"/>
        <v>0</v>
      </c>
      <c r="BK131" s="1">
        <f t="shared" si="38"/>
        <v>660</v>
      </c>
      <c r="BL131" s="20">
        <f t="shared" si="38"/>
        <v>45870.081470385594</v>
      </c>
      <c r="BM131" s="25">
        <f>VLOOKUP(BK131,'Hazard Weighting Functions'!$B$5:$G$1205,4,FALSE)</f>
        <v>1</v>
      </c>
      <c r="BN131" s="25">
        <f t="shared" si="59"/>
        <v>45870.081470385594</v>
      </c>
      <c r="BO131" s="25">
        <f t="shared" si="34"/>
        <v>217257.25014415817</v>
      </c>
      <c r="BP131" s="20">
        <f t="shared" si="39"/>
        <v>540</v>
      </c>
      <c r="BQ131" s="20">
        <f t="shared" si="39"/>
        <v>185845.95127544925</v>
      </c>
      <c r="BR131" s="25">
        <f>VLOOKUP(BP131,'Hazard Weighting Functions'!$B$5:$G$1205,4,FALSE)</f>
        <v>1</v>
      </c>
      <c r="BS131" s="25">
        <f t="shared" si="60"/>
        <v>185845.95127544925</v>
      </c>
      <c r="BT131" s="25">
        <f t="shared" si="61"/>
        <v>932998.23160849442</v>
      </c>
      <c r="BV131" s="25">
        <f>VLOOKUP(BK131,'Hazard Weighting Functions'!$B$5:$G$1205,5,FALSE)</f>
        <v>6.0999999999999999E-2</v>
      </c>
      <c r="BW131" s="25">
        <f t="shared" si="62"/>
        <v>2798.0749696935213</v>
      </c>
      <c r="BX131" s="25">
        <f t="shared" si="63"/>
        <v>11568.2950557859</v>
      </c>
    </row>
    <row r="132" spans="2:76">
      <c r="B132" s="25">
        <v>415</v>
      </c>
      <c r="C132" s="36">
        <v>11.329597371894831</v>
      </c>
      <c r="E132" s="25">
        <v>415</v>
      </c>
      <c r="F132" s="36"/>
      <c r="H132" s="25">
        <v>415</v>
      </c>
      <c r="I132" s="36"/>
      <c r="K132" s="25">
        <v>1515</v>
      </c>
      <c r="L132" s="36"/>
      <c r="N132" s="25">
        <v>665</v>
      </c>
      <c r="O132" s="36">
        <v>41032.818587277667</v>
      </c>
      <c r="Q132" s="20">
        <v>545</v>
      </c>
      <c r="R132" s="36">
        <v>187353.34136794851</v>
      </c>
      <c r="V132" s="25">
        <f t="shared" si="41"/>
        <v>415</v>
      </c>
      <c r="W132" s="25">
        <f t="shared" si="41"/>
        <v>11.329597371894831</v>
      </c>
      <c r="Y132" s="25">
        <f t="shared" si="42"/>
        <v>415</v>
      </c>
      <c r="Z132" s="25">
        <f t="shared" si="42"/>
        <v>11.329597371894831</v>
      </c>
      <c r="AA132" s="25">
        <f>VLOOKUP(Y132,'Hazard Weighting Functions'!$B$5:$G$1205,2,FALSE)</f>
        <v>0</v>
      </c>
      <c r="AB132" s="25">
        <f t="shared" si="43"/>
        <v>0</v>
      </c>
      <c r="AC132" s="25">
        <f t="shared" si="44"/>
        <v>0</v>
      </c>
      <c r="AE132" s="25">
        <f>VLOOKUP(Y132,'Hazard Weighting Functions'!$B$5:$G$1205,3,FALSE)</f>
        <v>0.8</v>
      </c>
      <c r="AF132" s="25">
        <f t="shared" si="45"/>
        <v>9.0636778975158645</v>
      </c>
      <c r="AG132" s="25">
        <f t="shared" si="46"/>
        <v>79.427466124071415</v>
      </c>
      <c r="AH132" s="25">
        <f>VLOOKUP(Y132,'Hazard Weighting Functions'!$B$5:$G$1205,5,FALSE)</f>
        <v>2.1800000000000001E-3</v>
      </c>
      <c r="AI132" s="25">
        <f t="shared" si="47"/>
        <v>2.4698522270730734E-2</v>
      </c>
      <c r="AJ132" s="25">
        <f t="shared" si="48"/>
        <v>0.31404973403363462</v>
      </c>
      <c r="AM132" s="25">
        <f t="shared" si="65"/>
        <v>91.399850518939019</v>
      </c>
      <c r="AP132" s="20">
        <f>'IEC_EN62471- LED non-GLS'!E182</f>
        <v>665</v>
      </c>
      <c r="AQ132" s="20">
        <f t="shared" si="49"/>
        <v>30.382332870533308</v>
      </c>
      <c r="AR132" s="25">
        <f>VLOOKUP(AP132,'Hazard Weighting Functions'!$B$5:$G$1205,3,FALSE)</f>
        <v>1E-3</v>
      </c>
      <c r="AS132" s="25">
        <f t="shared" si="50"/>
        <v>3.0382332870533307E-2</v>
      </c>
      <c r="AT132" s="25">
        <f t="shared" si="51"/>
        <v>0.14320961157505432</v>
      </c>
      <c r="AU132" s="20">
        <f t="shared" si="40"/>
        <v>665</v>
      </c>
      <c r="AV132" s="25">
        <f>O132</f>
        <v>41032.818587277667</v>
      </c>
      <c r="AW132" s="25">
        <f>VLOOKUP(AU132,'Hazard Weighting Functions'!$B$5:$G$1205,3,FALSE)</f>
        <v>1E-3</v>
      </c>
      <c r="AX132" s="25">
        <f t="shared" si="52"/>
        <v>41.032818587277667</v>
      </c>
      <c r="AY132" s="25">
        <f t="shared" si="53"/>
        <v>194.55820128690937</v>
      </c>
      <c r="AZ132" s="20">
        <f t="shared" si="37"/>
        <v>545</v>
      </c>
      <c r="BA132" s="20">
        <f t="shared" si="37"/>
        <v>187353.34136794851</v>
      </c>
      <c r="BB132" s="25">
        <f>VLOOKUP(AZ132,'Hazard Weighting Functions'!$B$5:$G$1205,3,FALSE)</f>
        <v>1.2999999999999999E-2</v>
      </c>
      <c r="BC132" s="25">
        <f t="shared" si="54"/>
        <v>2435.5934377833305</v>
      </c>
      <c r="BD132" s="25">
        <f t="shared" si="55"/>
        <v>10810.897220356284</v>
      </c>
      <c r="BF132" s="20">
        <f t="shared" si="66"/>
        <v>865</v>
      </c>
      <c r="BG132" s="20">
        <f t="shared" si="66"/>
        <v>0</v>
      </c>
      <c r="BH132" s="25">
        <f>VLOOKUP(BF132,'Hazard Weighting Functions'!$B$5:$G$1205,4,FALSE)</f>
        <v>0.46800000000000003</v>
      </c>
      <c r="BI132" s="25">
        <f t="shared" si="57"/>
        <v>0</v>
      </c>
      <c r="BJ132" s="25">
        <f t="shared" si="58"/>
        <v>0</v>
      </c>
      <c r="BK132" s="1">
        <f t="shared" si="38"/>
        <v>665</v>
      </c>
      <c r="BL132" s="20">
        <f t="shared" si="38"/>
        <v>41032.818587277667</v>
      </c>
      <c r="BM132" s="25">
        <f>VLOOKUP(BK132,'Hazard Weighting Functions'!$B$5:$G$1205,4,FALSE)</f>
        <v>1</v>
      </c>
      <c r="BN132" s="25">
        <f t="shared" si="59"/>
        <v>41032.818587277667</v>
      </c>
      <c r="BO132" s="25">
        <f t="shared" si="34"/>
        <v>194558.20128690935</v>
      </c>
      <c r="BP132" s="20">
        <f t="shared" si="39"/>
        <v>545</v>
      </c>
      <c r="BQ132" s="20">
        <f t="shared" si="39"/>
        <v>187353.34136794851</v>
      </c>
      <c r="BR132" s="25">
        <f>VLOOKUP(BP132,'Hazard Weighting Functions'!$B$5:$G$1205,4,FALSE)</f>
        <v>1</v>
      </c>
      <c r="BS132" s="25">
        <f t="shared" si="60"/>
        <v>187353.34136794851</v>
      </c>
      <c r="BT132" s="25">
        <f t="shared" si="61"/>
        <v>940574.71600966714</v>
      </c>
      <c r="BV132" s="25">
        <f>VLOOKUP(BK132,'Hazard Weighting Functions'!$B$5:$G$1205,5,FALSE)</f>
        <v>4.4580000000000002E-2</v>
      </c>
      <c r="BW132" s="25">
        <f t="shared" si="62"/>
        <v>1829.2430526208384</v>
      </c>
      <c r="BX132" s="25">
        <f t="shared" si="63"/>
        <v>7516.3445857509832</v>
      </c>
    </row>
    <row r="133" spans="2:76">
      <c r="B133" s="25">
        <v>420</v>
      </c>
      <c r="C133" s="36">
        <v>25.230342835680776</v>
      </c>
      <c r="E133" s="25">
        <v>420</v>
      </c>
      <c r="F133" s="36"/>
      <c r="H133" s="25">
        <v>420</v>
      </c>
      <c r="I133" s="36"/>
      <c r="K133" s="25">
        <v>1520</v>
      </c>
      <c r="L133" s="36"/>
      <c r="N133" s="25">
        <v>670</v>
      </c>
      <c r="O133" s="36">
        <v>36790.461927486074</v>
      </c>
      <c r="Q133" s="20">
        <v>550</v>
      </c>
      <c r="R133" s="36">
        <v>188876.54503591836</v>
      </c>
      <c r="V133" s="25">
        <f t="shared" si="41"/>
        <v>420</v>
      </c>
      <c r="W133" s="25">
        <f t="shared" si="41"/>
        <v>25.230342835680776</v>
      </c>
      <c r="Y133" s="25">
        <f t="shared" si="42"/>
        <v>420</v>
      </c>
      <c r="Z133" s="25">
        <f t="shared" si="42"/>
        <v>25.230342835680776</v>
      </c>
      <c r="AA133" s="25">
        <f>VLOOKUP(Y133,'Hazard Weighting Functions'!$B$5:$G$1205,2,FALSE)</f>
        <v>0</v>
      </c>
      <c r="AB133" s="25">
        <f t="shared" si="43"/>
        <v>0</v>
      </c>
      <c r="AC133" s="25">
        <f t="shared" si="44"/>
        <v>0</v>
      </c>
      <c r="AE133" s="25">
        <f>VLOOKUP(Y133,'Hazard Weighting Functions'!$B$5:$G$1205,3,FALSE)</f>
        <v>0.9</v>
      </c>
      <c r="AF133" s="25">
        <f t="shared" si="45"/>
        <v>22.7073085521127</v>
      </c>
      <c r="AG133" s="25">
        <f t="shared" si="46"/>
        <v>175.57398851034463</v>
      </c>
      <c r="AH133" s="25">
        <f>VLOOKUP(Y133,'Hazard Weighting Functions'!$B$5:$G$1205,5,FALSE)</f>
        <v>4.0000000000000001E-3</v>
      </c>
      <c r="AI133" s="25">
        <f t="shared" si="47"/>
        <v>0.10092137134272311</v>
      </c>
      <c r="AJ133" s="25">
        <f t="shared" si="48"/>
        <v>1.165231570514133</v>
      </c>
      <c r="AM133" s="25">
        <f t="shared" si="65"/>
        <v>188.13450669979443</v>
      </c>
      <c r="AP133" s="20">
        <f>'IEC_EN62471- LED non-GLS'!E183</f>
        <v>670</v>
      </c>
      <c r="AQ133" s="20">
        <f t="shared" si="49"/>
        <v>26.901511759488425</v>
      </c>
      <c r="AR133" s="25">
        <f>VLOOKUP(AP133,'Hazard Weighting Functions'!$B$5:$G$1205,3,FALSE)</f>
        <v>1E-3</v>
      </c>
      <c r="AS133" s="25">
        <f t="shared" si="50"/>
        <v>2.6901511759488426E-2</v>
      </c>
      <c r="AT133" s="25">
        <f t="shared" si="51"/>
        <v>0.12750112262330054</v>
      </c>
      <c r="AU133" s="20">
        <f t="shared" si="40"/>
        <v>670</v>
      </c>
      <c r="AV133" s="25">
        <f>O133</f>
        <v>36790.461927486074</v>
      </c>
      <c r="AW133" s="25">
        <f>VLOOKUP(AU133,'Hazard Weighting Functions'!$B$5:$G$1205,3,FALSE)</f>
        <v>1E-3</v>
      </c>
      <c r="AX133" s="25">
        <f t="shared" si="52"/>
        <v>36.790461927486078</v>
      </c>
      <c r="AY133" s="25">
        <f t="shared" si="53"/>
        <v>173.58909577559828</v>
      </c>
      <c r="AZ133" s="20">
        <f t="shared" si="37"/>
        <v>550</v>
      </c>
      <c r="BA133" s="20">
        <f t="shared" si="37"/>
        <v>188876.54503591836</v>
      </c>
      <c r="BB133" s="25">
        <f>VLOOKUP(AZ133,'Hazard Weighting Functions'!$B$5:$G$1205,3,FALSE)</f>
        <v>0.01</v>
      </c>
      <c r="BC133" s="25">
        <f t="shared" si="54"/>
        <v>1888.7654503591837</v>
      </c>
      <c r="BD133" s="25">
        <f t="shared" si="55"/>
        <v>8468.6931825046922</v>
      </c>
      <c r="BF133" s="20">
        <f t="shared" si="66"/>
        <v>870</v>
      </c>
      <c r="BG133" s="20">
        <f t="shared" si="66"/>
        <v>0</v>
      </c>
      <c r="BH133" s="25">
        <f>VLOOKUP(BF133,'Hazard Weighting Functions'!$B$5:$G$1205,4,FALSE)</f>
        <v>0.45700000000000002</v>
      </c>
      <c r="BI133" s="25">
        <f t="shared" si="57"/>
        <v>0</v>
      </c>
      <c r="BJ133" s="25">
        <f t="shared" si="58"/>
        <v>0</v>
      </c>
      <c r="BK133" s="1">
        <f t="shared" si="38"/>
        <v>670</v>
      </c>
      <c r="BL133" s="20">
        <f t="shared" si="38"/>
        <v>36790.461927486074</v>
      </c>
      <c r="BM133" s="25">
        <f>VLOOKUP(BK133,'Hazard Weighting Functions'!$B$5:$G$1205,4,FALSE)</f>
        <v>1</v>
      </c>
      <c r="BN133" s="25">
        <f t="shared" si="59"/>
        <v>36790.461927486074</v>
      </c>
      <c r="BO133" s="25">
        <f t="shared" ref="BO133:BO196" si="67">0.5*(BK134-BK133)*(BN133+BN134)</f>
        <v>173589.09577559828</v>
      </c>
      <c r="BP133" s="20">
        <f t="shared" si="39"/>
        <v>550</v>
      </c>
      <c r="BQ133" s="20">
        <f t="shared" si="39"/>
        <v>188876.54503591836</v>
      </c>
      <c r="BR133" s="25">
        <f>VLOOKUP(BP133,'Hazard Weighting Functions'!$B$5:$G$1205,4,FALSE)</f>
        <v>1</v>
      </c>
      <c r="BS133" s="25">
        <f t="shared" si="60"/>
        <v>188876.54503591836</v>
      </c>
      <c r="BT133" s="25">
        <f t="shared" si="61"/>
        <v>940538.80716563738</v>
      </c>
      <c r="BV133" s="25">
        <f>VLOOKUP(BK133,'Hazard Weighting Functions'!$B$5:$G$1205,5,FALSE)</f>
        <v>3.2000000000000001E-2</v>
      </c>
      <c r="BW133" s="25">
        <f t="shared" si="62"/>
        <v>1177.2947816795545</v>
      </c>
      <c r="BX133" s="25">
        <f t="shared" si="63"/>
        <v>4836.6571843985739</v>
      </c>
    </row>
    <row r="134" spans="2:76">
      <c r="B134" s="25">
        <v>425</v>
      </c>
      <c r="C134" s="36">
        <v>50.023459844236996</v>
      </c>
      <c r="E134" s="25">
        <v>425</v>
      </c>
      <c r="F134" s="36"/>
      <c r="H134" s="25">
        <v>425</v>
      </c>
      <c r="I134" s="36"/>
      <c r="K134" s="25">
        <v>1525</v>
      </c>
      <c r="L134" s="36"/>
      <c r="N134" s="25">
        <v>675</v>
      </c>
      <c r="O134" s="36">
        <v>32645.176382753238</v>
      </c>
      <c r="Q134" s="20">
        <v>555</v>
      </c>
      <c r="R134" s="36">
        <v>187338.9778303366</v>
      </c>
      <c r="V134" s="25">
        <f t="shared" si="41"/>
        <v>425</v>
      </c>
      <c r="W134" s="25">
        <f t="shared" si="41"/>
        <v>50.023459844236996</v>
      </c>
      <c r="Y134" s="25">
        <f t="shared" si="42"/>
        <v>425</v>
      </c>
      <c r="Z134" s="25">
        <f t="shared" si="42"/>
        <v>50.023459844236996</v>
      </c>
      <c r="AA134" s="25">
        <f>VLOOKUP(Y134,'Hazard Weighting Functions'!$B$5:$G$1205,2,FALSE)</f>
        <v>0</v>
      </c>
      <c r="AB134" s="25">
        <f t="shared" si="43"/>
        <v>0</v>
      </c>
      <c r="AC134" s="25">
        <f t="shared" si="44"/>
        <v>0</v>
      </c>
      <c r="AE134" s="25">
        <f>VLOOKUP(Y134,'Hazard Weighting Functions'!$B$5:$G$1205,3,FALSE)</f>
        <v>0.95</v>
      </c>
      <c r="AF134" s="25">
        <f t="shared" si="45"/>
        <v>47.522286852025147</v>
      </c>
      <c r="AG134" s="25">
        <f t="shared" si="46"/>
        <v>331.77614800207527</v>
      </c>
      <c r="AH134" s="25">
        <f>VLOOKUP(Y134,'Hazard Weighting Functions'!$B$5:$G$1205,5,FALSE)</f>
        <v>7.3000000000000001E-3</v>
      </c>
      <c r="AI134" s="25">
        <f t="shared" si="47"/>
        <v>0.36517125686293006</v>
      </c>
      <c r="AJ134" s="25">
        <f t="shared" si="48"/>
        <v>3.433802630030125</v>
      </c>
      <c r="AM134" s="25">
        <f t="shared" si="65"/>
        <v>342.37541580652356</v>
      </c>
      <c r="AP134" s="20">
        <f>'IEC_EN62471- LED non-GLS'!E184</f>
        <v>675</v>
      </c>
      <c r="AQ134" s="20">
        <f t="shared" si="49"/>
        <v>24.098937289831792</v>
      </c>
      <c r="AR134" s="25">
        <f>VLOOKUP(AP134,'Hazard Weighting Functions'!$B$5:$G$1205,3,FALSE)</f>
        <v>1E-3</v>
      </c>
      <c r="AS134" s="25">
        <f t="shared" si="50"/>
        <v>2.4098937289831791E-2</v>
      </c>
      <c r="AT134" s="25">
        <f t="shared" si="51"/>
        <v>0.11398460065802082</v>
      </c>
      <c r="AU134" s="20">
        <f t="shared" si="40"/>
        <v>675</v>
      </c>
      <c r="AV134" s="25">
        <f>O134</f>
        <v>32645.176382753238</v>
      </c>
      <c r="AW134" s="25">
        <f>VLOOKUP(AU134,'Hazard Weighting Functions'!$B$5:$G$1205,3,FALSE)</f>
        <v>1E-3</v>
      </c>
      <c r="AX134" s="25">
        <f t="shared" si="52"/>
        <v>32.645176382753242</v>
      </c>
      <c r="AY134" s="25">
        <f t="shared" si="53"/>
        <v>154.37587153798933</v>
      </c>
      <c r="AZ134" s="20">
        <f t="shared" si="37"/>
        <v>555</v>
      </c>
      <c r="BA134" s="20">
        <f t="shared" si="37"/>
        <v>187338.9778303366</v>
      </c>
      <c r="BB134" s="25">
        <f>VLOOKUP(AZ134,'Hazard Weighting Functions'!$B$5:$G$1205,3,FALSE)</f>
        <v>8.0000000000000002E-3</v>
      </c>
      <c r="BC134" s="25">
        <f t="shared" si="54"/>
        <v>1498.7118226426928</v>
      </c>
      <c r="BD134" s="25">
        <f t="shared" si="55"/>
        <v>6520.8412786199569</v>
      </c>
      <c r="BF134" s="20">
        <f t="shared" si="66"/>
        <v>875</v>
      </c>
      <c r="BG134" s="20">
        <f t="shared" si="66"/>
        <v>0</v>
      </c>
      <c r="BH134" s="25">
        <f>VLOOKUP(BF134,'Hazard Weighting Functions'!$B$5:$G$1205,4,FALSE)</f>
        <v>0.44700000000000001</v>
      </c>
      <c r="BI134" s="25">
        <f t="shared" si="57"/>
        <v>0</v>
      </c>
      <c r="BJ134" s="25">
        <f t="shared" si="58"/>
        <v>0</v>
      </c>
      <c r="BK134" s="1">
        <f t="shared" si="38"/>
        <v>675</v>
      </c>
      <c r="BL134" s="20">
        <f t="shared" si="38"/>
        <v>32645.176382753238</v>
      </c>
      <c r="BM134" s="25">
        <f>VLOOKUP(BK134,'Hazard Weighting Functions'!$B$5:$G$1205,4,FALSE)</f>
        <v>1</v>
      </c>
      <c r="BN134" s="25">
        <f t="shared" si="59"/>
        <v>32645.176382753238</v>
      </c>
      <c r="BO134" s="25">
        <f t="shared" si="67"/>
        <v>154375.8715379893</v>
      </c>
      <c r="BP134" s="20">
        <f t="shared" si="39"/>
        <v>555</v>
      </c>
      <c r="BQ134" s="20">
        <f t="shared" si="39"/>
        <v>187338.9778303366</v>
      </c>
      <c r="BR134" s="25">
        <f>VLOOKUP(BP134,'Hazard Weighting Functions'!$B$5:$G$1205,4,FALSE)</f>
        <v>1</v>
      </c>
      <c r="BS134" s="25">
        <f t="shared" si="60"/>
        <v>187338.9778303366</v>
      </c>
      <c r="BT134" s="25">
        <f t="shared" si="61"/>
        <v>930691.06491137901</v>
      </c>
      <c r="BV134" s="25">
        <f>VLOOKUP(BK134,'Hazard Weighting Functions'!$B$5:$G$1205,5,FALSE)</f>
        <v>2.3199999999999998E-2</v>
      </c>
      <c r="BW134" s="25">
        <f t="shared" si="62"/>
        <v>757.36809207987505</v>
      </c>
      <c r="BX134" s="25">
        <f t="shared" si="63"/>
        <v>3130.390050078493</v>
      </c>
    </row>
    <row r="135" spans="2:76">
      <c r="B135" s="25">
        <v>430</v>
      </c>
      <c r="C135" s="36">
        <v>86.926706478372424</v>
      </c>
      <c r="E135" s="25">
        <v>430</v>
      </c>
      <c r="F135" s="36"/>
      <c r="H135" s="25">
        <v>430</v>
      </c>
      <c r="I135" s="36"/>
      <c r="K135" s="25">
        <v>1530</v>
      </c>
      <c r="L135" s="36"/>
      <c r="N135" s="25">
        <v>680</v>
      </c>
      <c r="O135" s="36">
        <v>29105.172232442485</v>
      </c>
      <c r="Q135" s="20">
        <v>560</v>
      </c>
      <c r="R135" s="36">
        <v>184937.44813421502</v>
      </c>
      <c r="V135" s="25">
        <f t="shared" si="41"/>
        <v>430</v>
      </c>
      <c r="W135" s="25">
        <f t="shared" si="41"/>
        <v>86.926706478372424</v>
      </c>
      <c r="Y135" s="25">
        <f t="shared" si="42"/>
        <v>430</v>
      </c>
      <c r="Z135" s="25">
        <f t="shared" si="42"/>
        <v>86.926706478372424</v>
      </c>
      <c r="AA135" s="25">
        <f>VLOOKUP(Y135,'Hazard Weighting Functions'!$B$5:$G$1205,2,FALSE)</f>
        <v>0</v>
      </c>
      <c r="AB135" s="25">
        <f t="shared" si="43"/>
        <v>0</v>
      </c>
      <c r="AC135" s="25">
        <f t="shared" si="44"/>
        <v>0</v>
      </c>
      <c r="AE135" s="25">
        <f>VLOOKUP(Y135,'Hazard Weighting Functions'!$B$5:$G$1205,3,FALSE)</f>
        <v>0.98</v>
      </c>
      <c r="AF135" s="25">
        <f t="shared" si="45"/>
        <v>85.188172348804969</v>
      </c>
      <c r="AG135" s="25">
        <f t="shared" si="46"/>
        <v>542.608043517341</v>
      </c>
      <c r="AH135" s="25">
        <f>VLOOKUP(Y135,'Hazard Weighting Functions'!$B$5:$G$1205,5,FALSE)</f>
        <v>1.1599999999999999E-2</v>
      </c>
      <c r="AI135" s="25">
        <f t="shared" si="47"/>
        <v>1.00834979514912</v>
      </c>
      <c r="AJ135" s="25">
        <f t="shared" si="48"/>
        <v>8.0719718848201332</v>
      </c>
      <c r="AM135" s="25">
        <f t="shared" si="65"/>
        <v>546.95437884125965</v>
      </c>
      <c r="AP135" s="20">
        <f>'IEC_EN62471- LED non-GLS'!E185</f>
        <v>680</v>
      </c>
      <c r="AQ135" s="20">
        <f t="shared" si="49"/>
        <v>21.494902973376533</v>
      </c>
      <c r="AR135" s="25">
        <f>VLOOKUP(AP135,'Hazard Weighting Functions'!$B$5:$G$1205,3,FALSE)</f>
        <v>1E-3</v>
      </c>
      <c r="AS135" s="25">
        <f t="shared" si="50"/>
        <v>2.1494902973376532E-2</v>
      </c>
      <c r="AT135" s="25">
        <f t="shared" si="51"/>
        <v>0.10149001400337247</v>
      </c>
      <c r="AU135" s="20">
        <f t="shared" si="40"/>
        <v>680</v>
      </c>
      <c r="AV135" s="25">
        <f>O135</f>
        <v>29105.172232442485</v>
      </c>
      <c r="AW135" s="25">
        <f>VLOOKUP(AU135,'Hazard Weighting Functions'!$B$5:$G$1205,3,FALSE)</f>
        <v>1E-3</v>
      </c>
      <c r="AX135" s="25">
        <f t="shared" si="52"/>
        <v>29.105172232442484</v>
      </c>
      <c r="AY135" s="25">
        <f t="shared" si="53"/>
        <v>137.25273773695935</v>
      </c>
      <c r="AZ135" s="20">
        <f t="shared" si="37"/>
        <v>560</v>
      </c>
      <c r="BA135" s="20">
        <f t="shared" si="37"/>
        <v>184937.44813421502</v>
      </c>
      <c r="BB135" s="25">
        <f>VLOOKUP(AZ135,'Hazard Weighting Functions'!$B$5:$G$1205,3,FALSE)</f>
        <v>6.0000000000000001E-3</v>
      </c>
      <c r="BC135" s="25">
        <f t="shared" si="54"/>
        <v>1109.6246888052901</v>
      </c>
      <c r="BD135" s="25">
        <f t="shared" si="55"/>
        <v>5067.8464857801791</v>
      </c>
      <c r="BF135" s="20">
        <f t="shared" si="66"/>
        <v>880</v>
      </c>
      <c r="BG135" s="20">
        <f t="shared" si="66"/>
        <v>0</v>
      </c>
      <c r="BH135" s="25">
        <f>VLOOKUP(BF135,'Hazard Weighting Functions'!$B$5:$G$1205,4,FALSE)</f>
        <v>0.437</v>
      </c>
      <c r="BI135" s="25">
        <f t="shared" si="57"/>
        <v>0</v>
      </c>
      <c r="BJ135" s="25">
        <f t="shared" si="58"/>
        <v>0</v>
      </c>
      <c r="BK135" s="1">
        <f t="shared" si="38"/>
        <v>680</v>
      </c>
      <c r="BL135" s="20">
        <f t="shared" si="38"/>
        <v>29105.172232442485</v>
      </c>
      <c r="BM135" s="25">
        <f>VLOOKUP(BK135,'Hazard Weighting Functions'!$B$5:$G$1205,4,FALSE)</f>
        <v>1</v>
      </c>
      <c r="BN135" s="25">
        <f t="shared" si="59"/>
        <v>29105.172232442485</v>
      </c>
      <c r="BO135" s="25">
        <f t="shared" si="67"/>
        <v>137252.73773695936</v>
      </c>
      <c r="BP135" s="20">
        <f t="shared" si="39"/>
        <v>560</v>
      </c>
      <c r="BQ135" s="20">
        <f t="shared" si="39"/>
        <v>184937.44813421502</v>
      </c>
      <c r="BR135" s="25">
        <f>VLOOKUP(BP135,'Hazard Weighting Functions'!$B$5:$G$1205,4,FALSE)</f>
        <v>1</v>
      </c>
      <c r="BS135" s="25">
        <f t="shared" si="60"/>
        <v>184937.44813421502</v>
      </c>
      <c r="BT135" s="25">
        <f t="shared" si="61"/>
        <v>921100.57308892836</v>
      </c>
      <c r="BV135" s="25">
        <f>VLOOKUP(BK135,'Hazard Weighting Functions'!$B$5:$G$1205,5,FALSE)</f>
        <v>1.7000000000000001E-2</v>
      </c>
      <c r="BW135" s="25">
        <f t="shared" si="62"/>
        <v>494.78792795152225</v>
      </c>
      <c r="BX135" s="25">
        <f t="shared" si="63"/>
        <v>2005.6883211765751</v>
      </c>
    </row>
    <row r="136" spans="2:76">
      <c r="B136" s="25">
        <v>435</v>
      </c>
      <c r="C136" s="36">
        <v>131.85504505813142</v>
      </c>
      <c r="E136" s="25">
        <v>435</v>
      </c>
      <c r="F136" s="36"/>
      <c r="H136" s="25">
        <v>435</v>
      </c>
      <c r="I136" s="36"/>
      <c r="K136" s="25">
        <v>1535</v>
      </c>
      <c r="L136" s="36"/>
      <c r="N136" s="25">
        <v>685</v>
      </c>
      <c r="O136" s="36">
        <v>25795.922862341253</v>
      </c>
      <c r="Q136" s="20">
        <v>565</v>
      </c>
      <c r="R136" s="36">
        <v>183502.78110135629</v>
      </c>
      <c r="V136" s="25">
        <f t="shared" si="41"/>
        <v>435</v>
      </c>
      <c r="W136" s="25">
        <f t="shared" si="41"/>
        <v>131.85504505813142</v>
      </c>
      <c r="Y136" s="25">
        <f t="shared" si="42"/>
        <v>435</v>
      </c>
      <c r="Z136" s="25">
        <f t="shared" si="42"/>
        <v>131.85504505813142</v>
      </c>
      <c r="AA136" s="25">
        <f>VLOOKUP(Y136,'Hazard Weighting Functions'!$B$5:$G$1205,2,FALSE)</f>
        <v>0</v>
      </c>
      <c r="AB136" s="25">
        <f t="shared" si="43"/>
        <v>0</v>
      </c>
      <c r="AC136" s="25">
        <f t="shared" si="44"/>
        <v>0</v>
      </c>
      <c r="AE136" s="25">
        <f>VLOOKUP(Y136,'Hazard Weighting Functions'!$B$5:$G$1205,3,FALSE)</f>
        <v>1</v>
      </c>
      <c r="AF136" s="25">
        <f t="shared" si="45"/>
        <v>131.85504505813142</v>
      </c>
      <c r="AG136" s="25">
        <f t="shared" si="46"/>
        <v>758.79591052730814</v>
      </c>
      <c r="AH136" s="25">
        <f>VLOOKUP(Y136,'Hazard Weighting Functions'!$B$5:$G$1205,5,FALSE)</f>
        <v>1.6840000000000001E-2</v>
      </c>
      <c r="AI136" s="25">
        <f t="shared" si="47"/>
        <v>2.2204389587789333</v>
      </c>
      <c r="AJ136" s="25">
        <f t="shared" si="48"/>
        <v>15.421738248232863</v>
      </c>
      <c r="AM136" s="25">
        <f t="shared" si="65"/>
        <v>758.79591052730814</v>
      </c>
      <c r="AP136" s="20">
        <f>'IEC_EN62471- LED non-GLS'!E186</f>
        <v>685</v>
      </c>
      <c r="AQ136" s="20">
        <f t="shared" si="49"/>
        <v>19.101102627972452</v>
      </c>
      <c r="AR136" s="25">
        <f>VLOOKUP(AP136,'Hazard Weighting Functions'!$B$5:$G$1205,3,FALSE)</f>
        <v>1E-3</v>
      </c>
      <c r="AS136" s="25">
        <f t="shared" si="50"/>
        <v>1.9101102627972454E-2</v>
      </c>
      <c r="AT136" s="25">
        <f t="shared" si="51"/>
        <v>9.0231418293955395E-2</v>
      </c>
      <c r="AU136" s="20">
        <f t="shared" si="40"/>
        <v>685</v>
      </c>
      <c r="AV136" s="25">
        <f>O136</f>
        <v>25795.922862341253</v>
      </c>
      <c r="AW136" s="25">
        <f>VLOOKUP(AU136,'Hazard Weighting Functions'!$B$5:$G$1205,3,FALSE)</f>
        <v>1E-3</v>
      </c>
      <c r="AX136" s="25">
        <f t="shared" si="52"/>
        <v>25.795922862341254</v>
      </c>
      <c r="AY136" s="25">
        <f t="shared" si="53"/>
        <v>121.88036008878015</v>
      </c>
      <c r="AZ136" s="20">
        <f t="shared" si="37"/>
        <v>565</v>
      </c>
      <c r="BA136" s="20">
        <f t="shared" si="37"/>
        <v>183502.78110135629</v>
      </c>
      <c r="BB136" s="25">
        <f>VLOOKUP(AZ136,'Hazard Weighting Functions'!$B$5:$G$1205,3,FALSE)</f>
        <v>5.0000000000000001E-3</v>
      </c>
      <c r="BC136" s="25">
        <f t="shared" si="54"/>
        <v>917.5139055067815</v>
      </c>
      <c r="BD136" s="25">
        <f t="shared" si="55"/>
        <v>4088.9808203360772</v>
      </c>
      <c r="BF136" s="20">
        <f t="shared" si="66"/>
        <v>885</v>
      </c>
      <c r="BG136" s="20">
        <f t="shared" si="66"/>
        <v>0</v>
      </c>
      <c r="BH136" s="25">
        <f>VLOOKUP(BF136,'Hazard Weighting Functions'!$B$5:$G$1205,4,FALSE)</f>
        <v>0.42699999999999999</v>
      </c>
      <c r="BI136" s="25">
        <f t="shared" si="57"/>
        <v>0</v>
      </c>
      <c r="BJ136" s="25">
        <f t="shared" si="58"/>
        <v>0</v>
      </c>
      <c r="BK136" s="1">
        <f t="shared" si="38"/>
        <v>685</v>
      </c>
      <c r="BL136" s="20">
        <f t="shared" si="38"/>
        <v>25795.922862341253</v>
      </c>
      <c r="BM136" s="25">
        <f>VLOOKUP(BK136,'Hazard Weighting Functions'!$B$5:$G$1205,4,FALSE)</f>
        <v>1</v>
      </c>
      <c r="BN136" s="25">
        <f t="shared" si="59"/>
        <v>25795.922862341253</v>
      </c>
      <c r="BO136" s="25">
        <f t="shared" si="67"/>
        <v>121880.36008878014</v>
      </c>
      <c r="BP136" s="20">
        <f t="shared" si="39"/>
        <v>565</v>
      </c>
      <c r="BQ136" s="20">
        <f t="shared" si="39"/>
        <v>183502.78110135629</v>
      </c>
      <c r="BR136" s="25">
        <f>VLOOKUP(BP136,'Hazard Weighting Functions'!$B$5:$G$1205,4,FALSE)</f>
        <v>1</v>
      </c>
      <c r="BS136" s="25">
        <f t="shared" si="60"/>
        <v>183502.78110135629</v>
      </c>
      <c r="BT136" s="25">
        <f t="shared" si="61"/>
        <v>907555.96689567144</v>
      </c>
      <c r="BV136" s="25">
        <f>VLOOKUP(BK136,'Hazard Weighting Functions'!$B$5:$G$1205,5,FALSE)</f>
        <v>1.192E-2</v>
      </c>
      <c r="BW136" s="25">
        <f t="shared" si="62"/>
        <v>307.48740051910772</v>
      </c>
      <c r="BX136" s="25">
        <f t="shared" si="63"/>
        <v>1239.8949408771</v>
      </c>
    </row>
    <row r="137" spans="2:76">
      <c r="B137" s="25">
        <v>440</v>
      </c>
      <c r="C137" s="36">
        <v>171.66331915279184</v>
      </c>
      <c r="E137" s="25">
        <v>440</v>
      </c>
      <c r="F137" s="36"/>
      <c r="H137" s="25">
        <v>440</v>
      </c>
      <c r="I137" s="36"/>
      <c r="K137" s="25">
        <v>1540</v>
      </c>
      <c r="L137" s="36"/>
      <c r="N137" s="25">
        <v>690</v>
      </c>
      <c r="O137" s="36">
        <v>22956.221173170801</v>
      </c>
      <c r="Q137" s="20">
        <v>570</v>
      </c>
      <c r="R137" s="36">
        <v>179519.60565691229</v>
      </c>
      <c r="V137" s="25">
        <f t="shared" si="41"/>
        <v>440</v>
      </c>
      <c r="W137" s="25">
        <f t="shared" si="41"/>
        <v>171.66331915279184</v>
      </c>
      <c r="Y137" s="25">
        <f t="shared" si="42"/>
        <v>440</v>
      </c>
      <c r="Z137" s="25">
        <f t="shared" si="42"/>
        <v>171.66331915279184</v>
      </c>
      <c r="AA137" s="25">
        <f>VLOOKUP(Y137,'Hazard Weighting Functions'!$B$5:$G$1205,2,FALSE)</f>
        <v>0</v>
      </c>
      <c r="AB137" s="25">
        <f t="shared" si="43"/>
        <v>0</v>
      </c>
      <c r="AC137" s="25">
        <f t="shared" si="44"/>
        <v>0</v>
      </c>
      <c r="AE137" s="25">
        <f>VLOOKUP(Y137,'Hazard Weighting Functions'!$B$5:$G$1205,3,FALSE)</f>
        <v>1</v>
      </c>
      <c r="AF137" s="25">
        <f t="shared" si="45"/>
        <v>171.66331915279184</v>
      </c>
      <c r="AG137" s="25">
        <f>0.5*(Y138-Y137)*(AF137+AF138)</f>
        <v>920.52026140245005</v>
      </c>
      <c r="AH137" s="25">
        <f>VLOOKUP(Y137,'Hazard Weighting Functions'!$B$5:$G$1205,5,FALSE)</f>
        <v>2.3E-2</v>
      </c>
      <c r="AI137" s="25">
        <f t="shared" si="47"/>
        <v>3.9482563405142121</v>
      </c>
      <c r="AJ137" s="25">
        <f t="shared" si="48"/>
        <v>24.966090864594829</v>
      </c>
      <c r="AM137" s="25">
        <f t="shared" si="65"/>
        <v>935.71702316081519</v>
      </c>
      <c r="AP137" s="20">
        <f>'IEC_EN62471- LED non-GLS'!E187</f>
        <v>690</v>
      </c>
      <c r="AQ137" s="20">
        <f t="shared" si="49"/>
        <v>16.991464689609707</v>
      </c>
      <c r="AR137" s="25">
        <f>VLOOKUP(AP137,'Hazard Weighting Functions'!$B$5:$G$1205,3,FALSE)</f>
        <v>1E-3</v>
      </c>
      <c r="AS137" s="25">
        <f t="shared" si="50"/>
        <v>1.6991464689609707E-2</v>
      </c>
      <c r="AT137" s="25">
        <f t="shared" si="51"/>
        <v>8.0370617348277384E-2</v>
      </c>
      <c r="AU137" s="20">
        <f t="shared" si="40"/>
        <v>690</v>
      </c>
      <c r="AV137" s="25">
        <f>O137</f>
        <v>22956.221173170801</v>
      </c>
      <c r="AW137" s="25">
        <f>VLOOKUP(AU137,'Hazard Weighting Functions'!$B$5:$G$1205,3,FALSE)</f>
        <v>1E-3</v>
      </c>
      <c r="AX137" s="25">
        <f t="shared" si="52"/>
        <v>22.956221173170803</v>
      </c>
      <c r="AY137" s="25">
        <f t="shared" si="53"/>
        <v>107.40743485426718</v>
      </c>
      <c r="AZ137" s="20">
        <f t="shared" si="37"/>
        <v>570</v>
      </c>
      <c r="BA137" s="20">
        <f t="shared" si="37"/>
        <v>179519.60565691229</v>
      </c>
      <c r="BB137" s="25">
        <f>VLOOKUP(AZ137,'Hazard Weighting Functions'!$B$5:$G$1205,3,FALSE)</f>
        <v>4.0000000000000001E-3</v>
      </c>
      <c r="BC137" s="25">
        <f t="shared" si="54"/>
        <v>718.07842262764916</v>
      </c>
      <c r="BD137" s="25">
        <f t="shared" si="55"/>
        <v>3112.9735005580415</v>
      </c>
      <c r="BF137" s="20">
        <f t="shared" si="66"/>
        <v>890</v>
      </c>
      <c r="BG137" s="20">
        <f t="shared" si="66"/>
        <v>0</v>
      </c>
      <c r="BH137" s="25">
        <f>VLOOKUP(BF137,'Hazard Weighting Functions'!$B$5:$G$1205,4,FALSE)</f>
        <v>0.41699999999999998</v>
      </c>
      <c r="BI137" s="25">
        <f t="shared" si="57"/>
        <v>0</v>
      </c>
      <c r="BJ137" s="25">
        <f t="shared" si="58"/>
        <v>0</v>
      </c>
      <c r="BK137" s="1">
        <f t="shared" si="38"/>
        <v>690</v>
      </c>
      <c r="BL137" s="20">
        <f t="shared" si="38"/>
        <v>22956.221173170801</v>
      </c>
      <c r="BM137" s="25">
        <f>VLOOKUP(BK137,'Hazard Weighting Functions'!$B$5:$G$1205,4,FALSE)</f>
        <v>1</v>
      </c>
      <c r="BN137" s="25">
        <f t="shared" si="59"/>
        <v>22956.221173170801</v>
      </c>
      <c r="BO137" s="25">
        <f t="shared" si="67"/>
        <v>107407.43485426717</v>
      </c>
      <c r="BP137" s="20">
        <f t="shared" si="39"/>
        <v>570</v>
      </c>
      <c r="BQ137" s="20">
        <f t="shared" si="39"/>
        <v>179519.60565691229</v>
      </c>
      <c r="BR137" s="25">
        <f>VLOOKUP(BP137,'Hazard Weighting Functions'!$B$5:$G$1205,4,FALSE)</f>
        <v>1</v>
      </c>
      <c r="BS137" s="25">
        <f t="shared" si="60"/>
        <v>179519.60565691229</v>
      </c>
      <c r="BT137" s="25">
        <f t="shared" si="61"/>
        <v>888058.16213858675</v>
      </c>
      <c r="BV137" s="25">
        <f>VLOOKUP(BK137,'Hazard Weighting Functions'!$B$5:$G$1205,5,FALSE)</f>
        <v>8.2100000000000003E-3</v>
      </c>
      <c r="BW137" s="25">
        <f t="shared" si="62"/>
        <v>188.47057583173228</v>
      </c>
      <c r="BX137" s="25">
        <f t="shared" si="63"/>
        <v>757.42305481516041</v>
      </c>
    </row>
    <row r="138" spans="2:76">
      <c r="B138" s="25">
        <v>445</v>
      </c>
      <c r="C138" s="36">
        <v>202.62349011153421</v>
      </c>
      <c r="E138" s="25">
        <v>445</v>
      </c>
      <c r="F138" s="36"/>
      <c r="H138" s="25">
        <v>445</v>
      </c>
      <c r="I138" s="36"/>
      <c r="K138" s="25">
        <v>1545</v>
      </c>
      <c r="L138" s="36"/>
      <c r="N138" s="25">
        <v>695</v>
      </c>
      <c r="O138" s="36">
        <v>20006.752768536066</v>
      </c>
      <c r="Q138" s="20">
        <v>575</v>
      </c>
      <c r="R138" s="36">
        <v>175703.65919852242</v>
      </c>
      <c r="V138" s="25">
        <f t="shared" si="41"/>
        <v>445</v>
      </c>
      <c r="W138" s="25">
        <f t="shared" si="41"/>
        <v>202.62349011153421</v>
      </c>
      <c r="Y138" s="25">
        <f t="shared" si="42"/>
        <v>445</v>
      </c>
      <c r="Z138" s="25">
        <f t="shared" si="42"/>
        <v>202.62349011153421</v>
      </c>
      <c r="AA138" s="25">
        <f>VLOOKUP(Y138,'Hazard Weighting Functions'!$B$5:$G$1205,2,FALSE)</f>
        <v>0</v>
      </c>
      <c r="AB138" s="25">
        <f t="shared" si="43"/>
        <v>0</v>
      </c>
      <c r="AC138" s="25">
        <f t="shared" si="44"/>
        <v>0</v>
      </c>
      <c r="AE138" s="25">
        <f>VLOOKUP(Y138,'Hazard Weighting Functions'!$B$5:$G$1205,3,FALSE)</f>
        <v>0.97</v>
      </c>
      <c r="AF138" s="25">
        <f t="shared" si="45"/>
        <v>196.54478540818818</v>
      </c>
      <c r="AG138" s="25">
        <f t="shared" si="46"/>
        <v>1004.8384159440982</v>
      </c>
      <c r="AH138" s="25">
        <f>VLOOKUP(Y138,'Hazard Weighting Functions'!$B$5:$G$1205,5,FALSE)</f>
        <v>2.98E-2</v>
      </c>
      <c r="AI138" s="25">
        <f t="shared" si="47"/>
        <v>6.0381800053237198</v>
      </c>
      <c r="AJ138" s="25">
        <f t="shared" si="48"/>
        <v>35.853008728307017</v>
      </c>
      <c r="AM138" s="25">
        <f t="shared" si="65"/>
        <v>1052.8102704103544</v>
      </c>
      <c r="AP138" s="20">
        <f>'IEC_EN62471- LED non-GLS'!E188</f>
        <v>695</v>
      </c>
      <c r="AQ138" s="20">
        <f t="shared" si="49"/>
        <v>15.15678224970125</v>
      </c>
      <c r="AR138" s="25">
        <f>VLOOKUP(AP138,'Hazard Weighting Functions'!$B$5:$G$1205,3,FALSE)</f>
        <v>1E-3</v>
      </c>
      <c r="AS138" s="25">
        <f t="shared" si="50"/>
        <v>1.515678224970125E-2</v>
      </c>
      <c r="AT138" s="25">
        <f t="shared" si="51"/>
        <v>7.1610607694700346E-2</v>
      </c>
      <c r="AU138" s="20">
        <f t="shared" si="40"/>
        <v>695</v>
      </c>
      <c r="AV138" s="25">
        <f>O138</f>
        <v>20006.752768536066</v>
      </c>
      <c r="AW138" s="25">
        <f>VLOOKUP(AU138,'Hazard Weighting Functions'!$B$5:$G$1205,3,FALSE)</f>
        <v>1E-3</v>
      </c>
      <c r="AX138" s="25">
        <f t="shared" si="52"/>
        <v>20.006752768536067</v>
      </c>
      <c r="AY138" s="25">
        <f t="shared" si="53"/>
        <v>93.927414719787592</v>
      </c>
      <c r="AZ138" s="20">
        <f t="shared" si="37"/>
        <v>575</v>
      </c>
      <c r="BA138" s="20">
        <f t="shared" si="37"/>
        <v>175703.65919852242</v>
      </c>
      <c r="BB138" s="25">
        <f>VLOOKUP(AZ138,'Hazard Weighting Functions'!$B$5:$G$1205,3,FALSE)</f>
        <v>3.0000000000000001E-3</v>
      </c>
      <c r="BC138" s="25">
        <f t="shared" si="54"/>
        <v>527.11097759556731</v>
      </c>
      <c r="BD138" s="25">
        <f t="shared" si="55"/>
        <v>2167.804912463816</v>
      </c>
      <c r="BF138" s="20">
        <f t="shared" si="66"/>
        <v>895</v>
      </c>
      <c r="BG138" s="20">
        <f t="shared" si="66"/>
        <v>0</v>
      </c>
      <c r="BH138" s="25">
        <f>VLOOKUP(BF138,'Hazard Weighting Functions'!$B$5:$G$1205,4,FALSE)</f>
        <v>0.40699999999999997</v>
      </c>
      <c r="BI138" s="25">
        <f t="shared" si="57"/>
        <v>0</v>
      </c>
      <c r="BJ138" s="25">
        <f t="shared" si="58"/>
        <v>0</v>
      </c>
      <c r="BK138" s="1">
        <f t="shared" si="38"/>
        <v>695</v>
      </c>
      <c r="BL138" s="20">
        <f t="shared" si="38"/>
        <v>20006.752768536066</v>
      </c>
      <c r="BM138" s="25">
        <f>VLOOKUP(BK138,'Hazard Weighting Functions'!$B$5:$G$1205,4,FALSE)</f>
        <v>1</v>
      </c>
      <c r="BN138" s="25">
        <f t="shared" si="59"/>
        <v>20006.752768536066</v>
      </c>
      <c r="BO138" s="25">
        <f t="shared" si="67"/>
        <v>93927.414719787601</v>
      </c>
      <c r="BP138" s="20">
        <f t="shared" si="39"/>
        <v>575</v>
      </c>
      <c r="BQ138" s="20">
        <f t="shared" si="39"/>
        <v>175703.65919852242</v>
      </c>
      <c r="BR138" s="25">
        <f>VLOOKUP(BP138,'Hazard Weighting Functions'!$B$5:$G$1205,4,FALSE)</f>
        <v>1</v>
      </c>
      <c r="BS138" s="25">
        <f t="shared" si="60"/>
        <v>175703.65919852242</v>
      </c>
      <c r="BT138" s="25">
        <f t="shared" si="61"/>
        <v>864272.88223375473</v>
      </c>
      <c r="BV138" s="25">
        <f>VLOOKUP(BK138,'Hazard Weighting Functions'!$B$5:$G$1205,5,FALSE)</f>
        <v>5.7229999999999998E-3</v>
      </c>
      <c r="BW138" s="25">
        <f t="shared" si="62"/>
        <v>114.4986460943319</v>
      </c>
      <c r="BX138" s="25">
        <f t="shared" si="63"/>
        <v>466.36762077506103</v>
      </c>
    </row>
    <row r="139" spans="2:76">
      <c r="B139" s="25">
        <v>450</v>
      </c>
      <c r="C139" s="36">
        <v>218.50061805260756</v>
      </c>
      <c r="E139" s="25">
        <v>450</v>
      </c>
      <c r="F139" s="36"/>
      <c r="H139" s="25">
        <v>450</v>
      </c>
      <c r="I139" s="36"/>
      <c r="K139" s="25">
        <v>1550</v>
      </c>
      <c r="L139" s="36"/>
      <c r="N139" s="25">
        <v>700</v>
      </c>
      <c r="O139" s="36">
        <v>17564.213119378968</v>
      </c>
      <c r="Q139" s="20">
        <v>580</v>
      </c>
      <c r="R139" s="36">
        <v>170005.49369497949</v>
      </c>
      <c r="V139" s="25">
        <f t="shared" si="41"/>
        <v>450</v>
      </c>
      <c r="W139" s="25">
        <f t="shared" si="41"/>
        <v>218.50061805260756</v>
      </c>
      <c r="Y139" s="25">
        <f t="shared" si="42"/>
        <v>450</v>
      </c>
      <c r="Z139" s="25">
        <f t="shared" si="42"/>
        <v>218.50061805260756</v>
      </c>
      <c r="AA139" s="25">
        <f>VLOOKUP(Y139,'Hazard Weighting Functions'!$B$5:$G$1205,2,FALSE)</f>
        <v>0</v>
      </c>
      <c r="AB139" s="25">
        <f t="shared" si="43"/>
        <v>0</v>
      </c>
      <c r="AC139" s="25">
        <f t="shared" si="44"/>
        <v>0</v>
      </c>
      <c r="AE139" s="25">
        <f>VLOOKUP(Y139,'Hazard Weighting Functions'!$B$5:$G$1205,3,FALSE)</f>
        <v>0.94</v>
      </c>
      <c r="AF139" s="25">
        <f t="shared" si="45"/>
        <v>205.39058096945109</v>
      </c>
      <c r="AG139" s="25">
        <f t="shared" si="46"/>
        <v>925.93567561298983</v>
      </c>
      <c r="AH139" s="25">
        <f>VLOOKUP(Y139,'Hazard Weighting Functions'!$B$5:$G$1205,5,FALSE)</f>
        <v>3.7999999999999999E-2</v>
      </c>
      <c r="AI139" s="25">
        <f t="shared" si="47"/>
        <v>8.3030234859990877</v>
      </c>
      <c r="AJ139" s="25">
        <f t="shared" si="48"/>
        <v>42.755383951763697</v>
      </c>
      <c r="AM139" s="25">
        <f t="shared" si="65"/>
        <v>1004.5395708974769</v>
      </c>
      <c r="AP139" s="20">
        <f>'IEC_EN62471- LED non-GLS'!E189</f>
        <v>700</v>
      </c>
      <c r="AQ139" s="20">
        <f t="shared" si="49"/>
        <v>13.487460828178891</v>
      </c>
      <c r="AR139" s="25">
        <f>VLOOKUP(AP139,'Hazard Weighting Functions'!$B$5:$G$1205,3,FALSE)</f>
        <v>1E-3</v>
      </c>
      <c r="AS139" s="25">
        <f t="shared" si="50"/>
        <v>1.3487460828178892E-2</v>
      </c>
      <c r="AU139" s="20">
        <f t="shared" si="40"/>
        <v>700</v>
      </c>
      <c r="AV139" s="25">
        <f>O139</f>
        <v>17564.213119378968</v>
      </c>
      <c r="AW139" s="25">
        <f>VLOOKUP(AU139,'Hazard Weighting Functions'!$B$5:$G$1205,3,FALSE)</f>
        <v>1E-3</v>
      </c>
      <c r="AX139" s="25">
        <f t="shared" si="52"/>
        <v>17.564213119378969</v>
      </c>
      <c r="AZ139" s="20">
        <f t="shared" ref="AZ139:BA163" si="68">Q139</f>
        <v>580</v>
      </c>
      <c r="BA139" s="20">
        <f t="shared" si="68"/>
        <v>170005.49369497949</v>
      </c>
      <c r="BB139" s="25">
        <f>VLOOKUP(AZ139,'Hazard Weighting Functions'!$B$5:$G$1205,3,FALSE)</f>
        <v>2E-3</v>
      </c>
      <c r="BC139" s="25">
        <f t="shared" si="54"/>
        <v>340.01098738995898</v>
      </c>
      <c r="BD139" s="25">
        <f t="shared" si="55"/>
        <v>1261.2744868369991</v>
      </c>
      <c r="BF139" s="20">
        <f t="shared" si="66"/>
        <v>900</v>
      </c>
      <c r="BG139" s="20">
        <f t="shared" si="66"/>
        <v>0</v>
      </c>
      <c r="BH139" s="25">
        <f>VLOOKUP(BF139,'Hazard Weighting Functions'!$B$5:$G$1205,4,FALSE)</f>
        <v>0.39800000000000002</v>
      </c>
      <c r="BI139" s="25">
        <f t="shared" si="57"/>
        <v>0</v>
      </c>
      <c r="BJ139" s="25">
        <f t="shared" si="58"/>
        <v>0</v>
      </c>
      <c r="BK139" s="1">
        <f t="shared" si="38"/>
        <v>700</v>
      </c>
      <c r="BL139" s="20">
        <f t="shared" si="38"/>
        <v>17564.213119378968</v>
      </c>
      <c r="BM139" s="25">
        <f>VLOOKUP(BK139,'Hazard Weighting Functions'!$B$5:$G$1205,4,FALSE)</f>
        <v>1</v>
      </c>
      <c r="BN139" s="25">
        <f t="shared" si="59"/>
        <v>17564.213119378968</v>
      </c>
      <c r="BO139" s="25">
        <f t="shared" si="67"/>
        <v>81761.617707577519</v>
      </c>
      <c r="BP139" s="20">
        <f t="shared" si="39"/>
        <v>580</v>
      </c>
      <c r="BQ139" s="20">
        <f t="shared" si="39"/>
        <v>170005.49369497949</v>
      </c>
      <c r="BR139" s="25">
        <f>VLOOKUP(BP139,'Hazard Weighting Functions'!$B$5:$G$1205,4,FALSE)</f>
        <v>1</v>
      </c>
      <c r="BS139" s="25">
        <f t="shared" si="60"/>
        <v>170005.49369497949</v>
      </c>
      <c r="BT139" s="25">
        <f t="shared" si="61"/>
        <v>836260.75259955041</v>
      </c>
      <c r="BV139" s="25">
        <f>VLOOKUP(BK139,'Hazard Weighting Functions'!$B$5:$G$1205,5,FALSE)</f>
        <v>4.1019999999999997E-3</v>
      </c>
      <c r="BW139" s="25">
        <f t="shared" si="62"/>
        <v>72.048402215692519</v>
      </c>
      <c r="BX139" s="25">
        <f t="shared" si="63"/>
        <v>293.59677595769813</v>
      </c>
    </row>
    <row r="140" spans="2:76">
      <c r="B140" s="25">
        <v>455</v>
      </c>
      <c r="C140" s="36">
        <v>183.31521030638316</v>
      </c>
      <c r="E140" s="25">
        <v>455</v>
      </c>
      <c r="F140" s="36"/>
      <c r="H140" s="25">
        <v>455</v>
      </c>
      <c r="I140" s="36"/>
      <c r="K140" s="25">
        <v>1555</v>
      </c>
      <c r="L140" s="36"/>
      <c r="N140" s="25">
        <v>705</v>
      </c>
      <c r="O140" s="36">
        <v>15496.861784700142</v>
      </c>
      <c r="Q140" s="20">
        <v>585</v>
      </c>
      <c r="R140" s="36">
        <v>164498.80734484072</v>
      </c>
      <c r="V140" s="25">
        <f t="shared" si="41"/>
        <v>455</v>
      </c>
      <c r="W140" s="25">
        <f t="shared" si="41"/>
        <v>183.31521030638316</v>
      </c>
      <c r="Y140" s="25">
        <f t="shared" si="42"/>
        <v>455</v>
      </c>
      <c r="Z140" s="25">
        <f t="shared" si="42"/>
        <v>183.31521030638316</v>
      </c>
      <c r="AA140" s="25">
        <f>VLOOKUP(Y140,'Hazard Weighting Functions'!$B$5:$G$1205,2,FALSE)</f>
        <v>0</v>
      </c>
      <c r="AB140" s="25">
        <f t="shared" si="43"/>
        <v>0</v>
      </c>
      <c r="AC140" s="25">
        <f t="shared" si="44"/>
        <v>0</v>
      </c>
      <c r="AE140" s="25">
        <f>VLOOKUP(Y140,'Hazard Weighting Functions'!$B$5:$G$1205,3,FALSE)</f>
        <v>0.9</v>
      </c>
      <c r="AF140" s="25">
        <f t="shared" si="45"/>
        <v>164.98368927574487</v>
      </c>
      <c r="AG140" s="25">
        <f t="shared" si="46"/>
        <v>649.46471156198129</v>
      </c>
      <c r="AH140" s="25">
        <f>VLOOKUP(Y140,'Hazard Weighting Functions'!$B$5:$G$1205,5,FALSE)</f>
        <v>4.8000000000000001E-2</v>
      </c>
      <c r="AI140" s="25">
        <f t="shared" si="47"/>
        <v>8.799130094706392</v>
      </c>
      <c r="AJ140" s="25">
        <f t="shared" si="48"/>
        <v>39.773236864712409</v>
      </c>
      <c r="AM140" s="25">
        <f t="shared" si="65"/>
        <v>754.54488623173177</v>
      </c>
      <c r="AZ140" s="20">
        <f t="shared" si="68"/>
        <v>585</v>
      </c>
      <c r="BA140" s="20">
        <f t="shared" si="68"/>
        <v>164498.80734484072</v>
      </c>
      <c r="BB140" s="25">
        <f>VLOOKUP(AZ140,'Hazard Weighting Functions'!$B$5:$G$1205,3,FALSE)</f>
        <v>1E-3</v>
      </c>
      <c r="BC140" s="25">
        <f t="shared" si="54"/>
        <v>164.49880734484071</v>
      </c>
      <c r="BD140" s="25">
        <f t="shared" si="55"/>
        <v>804.83937860716935</v>
      </c>
      <c r="BF140" s="20">
        <f t="shared" si="66"/>
        <v>905</v>
      </c>
      <c r="BG140" s="20">
        <f t="shared" si="66"/>
        <v>0</v>
      </c>
      <c r="BH140" s="25">
        <f>VLOOKUP(BF140,'Hazard Weighting Functions'!$B$5:$G$1205,4,FALSE)</f>
        <v>0.38900000000000001</v>
      </c>
      <c r="BI140" s="25">
        <f t="shared" si="57"/>
        <v>0</v>
      </c>
      <c r="BJ140" s="25">
        <f t="shared" si="58"/>
        <v>0</v>
      </c>
      <c r="BK140" s="1">
        <f t="shared" si="38"/>
        <v>705</v>
      </c>
      <c r="BL140" s="20">
        <f t="shared" si="38"/>
        <v>15496.861784700142</v>
      </c>
      <c r="BM140" s="25">
        <f>VLOOKUP(BK140,'Hazard Weighting Functions'!$B$5:$G$1205,4,FALSE)</f>
        <v>0.97699999999999998</v>
      </c>
      <c r="BN140" s="25">
        <f t="shared" si="59"/>
        <v>15140.433963652038</v>
      </c>
      <c r="BO140" s="25">
        <f t="shared" si="67"/>
        <v>70508.018126004434</v>
      </c>
      <c r="BP140" s="20">
        <f t="shared" si="39"/>
        <v>585</v>
      </c>
      <c r="BQ140" s="20">
        <f t="shared" si="39"/>
        <v>164498.80734484072</v>
      </c>
      <c r="BR140" s="25">
        <f>VLOOKUP(BP140,'Hazard Weighting Functions'!$B$5:$G$1205,4,FALSE)</f>
        <v>1</v>
      </c>
      <c r="BS140" s="25">
        <f t="shared" si="60"/>
        <v>164498.80734484072</v>
      </c>
      <c r="BT140" s="25">
        <f t="shared" si="61"/>
        <v>804839.37860716926</v>
      </c>
      <c r="BV140" s="25">
        <f>VLOOKUP(BK140,'Hazard Weighting Functions'!$B$5:$G$1205,5,FALSE)</f>
        <v>2.9290000000000002E-3</v>
      </c>
      <c r="BW140" s="25">
        <f t="shared" si="62"/>
        <v>45.390308167386721</v>
      </c>
      <c r="BX140" s="25">
        <f t="shared" si="63"/>
        <v>184.97906607970685</v>
      </c>
    </row>
    <row r="141" spans="2:76">
      <c r="B141" s="25">
        <v>460</v>
      </c>
      <c r="C141" s="36">
        <v>118.50274418630953</v>
      </c>
      <c r="E141" s="25">
        <v>460</v>
      </c>
      <c r="F141" s="36"/>
      <c r="H141" s="25">
        <v>460</v>
      </c>
      <c r="I141" s="36"/>
      <c r="K141" s="25">
        <v>1560</v>
      </c>
      <c r="L141" s="36"/>
      <c r="N141" s="25">
        <v>710</v>
      </c>
      <c r="O141" s="36">
        <v>13678.296635340039</v>
      </c>
      <c r="Q141" s="20">
        <v>590</v>
      </c>
      <c r="R141" s="36">
        <v>157436.94409802699</v>
      </c>
      <c r="V141" s="25">
        <f t="shared" si="41"/>
        <v>460</v>
      </c>
      <c r="W141" s="25">
        <f t="shared" si="41"/>
        <v>118.50274418630953</v>
      </c>
      <c r="Y141" s="25">
        <f t="shared" si="42"/>
        <v>460</v>
      </c>
      <c r="Z141" s="25">
        <f t="shared" si="42"/>
        <v>118.50274418630953</v>
      </c>
      <c r="AA141" s="25">
        <f>VLOOKUP(Y141,'Hazard Weighting Functions'!$B$5:$G$1205,2,FALSE)</f>
        <v>0</v>
      </c>
      <c r="AB141" s="25">
        <f t="shared" si="43"/>
        <v>0</v>
      </c>
      <c r="AC141" s="25">
        <f t="shared" si="44"/>
        <v>0</v>
      </c>
      <c r="AE141" s="25">
        <f>VLOOKUP(Y141,'Hazard Weighting Functions'!$B$5:$G$1205,3,FALSE)</f>
        <v>0.8</v>
      </c>
      <c r="AF141" s="25">
        <f t="shared" si="45"/>
        <v>94.802195349047622</v>
      </c>
      <c r="AG141" s="25">
        <f t="shared" si="46"/>
        <v>370.08807237960474</v>
      </c>
      <c r="AH141" s="25">
        <f>VLOOKUP(Y141,'Hazard Weighting Functions'!$B$5:$G$1205,5,FALSE)</f>
        <v>0.06</v>
      </c>
      <c r="AI141" s="25">
        <f t="shared" si="47"/>
        <v>7.1101646511785717</v>
      </c>
      <c r="AJ141" s="25">
        <f t="shared" si="48"/>
        <v>31.825130139541066</v>
      </c>
      <c r="AM141" s="25">
        <f t="shared" si="65"/>
        <v>486.37483761861057</v>
      </c>
      <c r="AZ141" s="20">
        <f t="shared" si="68"/>
        <v>590</v>
      </c>
      <c r="BA141" s="20">
        <f t="shared" si="68"/>
        <v>157436.94409802699</v>
      </c>
      <c r="BB141" s="25">
        <f>VLOOKUP(AZ141,'Hazard Weighting Functions'!$B$5:$G$1205,3,FALSE)</f>
        <v>1E-3</v>
      </c>
      <c r="BC141" s="25">
        <f t="shared" si="54"/>
        <v>157.436944098027</v>
      </c>
      <c r="BD141" s="25">
        <f t="shared" si="55"/>
        <v>767.0830733311052</v>
      </c>
      <c r="BF141" s="20">
        <f t="shared" si="66"/>
        <v>910</v>
      </c>
      <c r="BG141" s="20">
        <f t="shared" si="66"/>
        <v>0</v>
      </c>
      <c r="BH141" s="25">
        <f>VLOOKUP(BF141,'Hazard Weighting Functions'!$B$5:$G$1205,4,FALSE)</f>
        <v>0.38</v>
      </c>
      <c r="BI141" s="25">
        <f t="shared" si="57"/>
        <v>0</v>
      </c>
      <c r="BJ141" s="25">
        <f t="shared" si="58"/>
        <v>0</v>
      </c>
      <c r="BK141" s="1">
        <f t="shared" si="38"/>
        <v>710</v>
      </c>
      <c r="BL141" s="20">
        <f t="shared" si="38"/>
        <v>13678.296635340039</v>
      </c>
      <c r="BM141" s="25">
        <f>VLOOKUP(BK141,'Hazard Weighting Functions'!$B$5:$G$1205,4,FALSE)</f>
        <v>0.95499999999999996</v>
      </c>
      <c r="BN141" s="25">
        <f t="shared" si="59"/>
        <v>13062.773286749736</v>
      </c>
      <c r="BO141" s="25">
        <f t="shared" si="67"/>
        <v>60714.625225270778</v>
      </c>
      <c r="BP141" s="20">
        <f t="shared" si="39"/>
        <v>590</v>
      </c>
      <c r="BQ141" s="20">
        <f t="shared" si="39"/>
        <v>157436.94409802699</v>
      </c>
      <c r="BR141" s="25">
        <f>VLOOKUP(BP141,'Hazard Weighting Functions'!$B$5:$G$1205,4,FALSE)</f>
        <v>1</v>
      </c>
      <c r="BS141" s="25">
        <f t="shared" si="60"/>
        <v>157436.94409802699</v>
      </c>
      <c r="BT141" s="25">
        <f t="shared" si="61"/>
        <v>767083.07333110506</v>
      </c>
      <c r="BV141" s="25">
        <f>VLOOKUP(BK141,'Hazard Weighting Functions'!$B$5:$G$1205,5,FALSE)</f>
        <v>2.091E-3</v>
      </c>
      <c r="BW141" s="25">
        <f t="shared" si="62"/>
        <v>28.601318264496022</v>
      </c>
      <c r="BX141" s="25">
        <f t="shared" si="63"/>
        <v>116.13096440771415</v>
      </c>
    </row>
    <row r="142" spans="2:76">
      <c r="B142" s="25">
        <v>465</v>
      </c>
      <c r="C142" s="36">
        <v>76.047190861134695</v>
      </c>
      <c r="E142" s="25">
        <v>465</v>
      </c>
      <c r="F142" s="36"/>
      <c r="H142" s="25">
        <v>465</v>
      </c>
      <c r="I142" s="36"/>
      <c r="K142" s="25">
        <v>1565</v>
      </c>
      <c r="L142" s="36"/>
      <c r="N142" s="25">
        <v>715</v>
      </c>
      <c r="O142" s="36">
        <v>12029.02122546471</v>
      </c>
      <c r="Q142" s="20">
        <v>595</v>
      </c>
      <c r="R142" s="36">
        <v>149396.28523441509</v>
      </c>
      <c r="V142" s="25">
        <f t="shared" si="41"/>
        <v>465</v>
      </c>
      <c r="W142" s="25">
        <f t="shared" si="41"/>
        <v>76.047190861134695</v>
      </c>
      <c r="Y142" s="25">
        <f t="shared" si="42"/>
        <v>465</v>
      </c>
      <c r="Z142" s="25">
        <f t="shared" si="42"/>
        <v>76.047190861134695</v>
      </c>
      <c r="AA142" s="25">
        <f>VLOOKUP(Y142,'Hazard Weighting Functions'!$B$5:$G$1205,2,FALSE)</f>
        <v>0</v>
      </c>
      <c r="AB142" s="25">
        <f t="shared" si="43"/>
        <v>0</v>
      </c>
      <c r="AC142" s="25">
        <f t="shared" si="44"/>
        <v>0</v>
      </c>
      <c r="AE142" s="25">
        <f>VLOOKUP(Y142,'Hazard Weighting Functions'!$B$5:$G$1205,3,FALSE)</f>
        <v>0.7</v>
      </c>
      <c r="AF142" s="25">
        <f t="shared" si="45"/>
        <v>53.233033602794286</v>
      </c>
      <c r="AG142" s="25">
        <f t="shared" si="46"/>
        <v>216.79943856008759</v>
      </c>
      <c r="AH142" s="25">
        <f>VLOOKUP(Y142,'Hazard Weighting Functions'!$B$5:$G$1205,5,FALSE)</f>
        <v>7.3899999999999993E-2</v>
      </c>
      <c r="AI142" s="25">
        <f t="shared" si="47"/>
        <v>5.6198874046378533</v>
      </c>
      <c r="AJ142" s="25">
        <f t="shared" si="48"/>
        <v>26.334491781338517</v>
      </c>
      <c r="AM142" s="25">
        <f t="shared" si="65"/>
        <v>325.14516191590428</v>
      </c>
      <c r="AZ142" s="20">
        <f t="shared" si="68"/>
        <v>595</v>
      </c>
      <c r="BA142" s="20">
        <f t="shared" si="68"/>
        <v>149396.28523441509</v>
      </c>
      <c r="BB142" s="25">
        <f>VLOOKUP(AZ142,'Hazard Weighting Functions'!$B$5:$G$1205,3,FALSE)</f>
        <v>1E-3</v>
      </c>
      <c r="BC142" s="25">
        <f t="shared" si="54"/>
        <v>149.3962852344151</v>
      </c>
      <c r="BD142" s="25">
        <f t="shared" si="55"/>
        <v>729.06683181208678</v>
      </c>
      <c r="BF142" s="20">
        <f t="shared" ref="BF142:BG157" si="69">H232</f>
        <v>915</v>
      </c>
      <c r="BG142" s="20">
        <f t="shared" si="69"/>
        <v>0</v>
      </c>
      <c r="BH142" s="25">
        <f>VLOOKUP(BF142,'Hazard Weighting Functions'!$B$5:$G$1205,4,FALSE)</f>
        <v>0.372</v>
      </c>
      <c r="BI142" s="25">
        <f t="shared" si="57"/>
        <v>0</v>
      </c>
      <c r="BJ142" s="25">
        <f t="shared" si="58"/>
        <v>0</v>
      </c>
      <c r="BK142" s="1">
        <f t="shared" si="38"/>
        <v>715</v>
      </c>
      <c r="BL142" s="20">
        <f t="shared" si="38"/>
        <v>12029.02122546471</v>
      </c>
      <c r="BM142" s="25">
        <f>VLOOKUP(BK142,'Hazard Weighting Functions'!$B$5:$G$1205,4,FALSE)</f>
        <v>0.93300000000000005</v>
      </c>
      <c r="BN142" s="25">
        <f t="shared" si="59"/>
        <v>11223.076803358575</v>
      </c>
      <c r="BO142" s="25">
        <f t="shared" si="67"/>
        <v>52248.870169172456</v>
      </c>
      <c r="BP142" s="20">
        <f t="shared" si="39"/>
        <v>595</v>
      </c>
      <c r="BQ142" s="20">
        <f t="shared" si="39"/>
        <v>149396.28523441509</v>
      </c>
      <c r="BR142" s="25">
        <f>VLOOKUP(BP142,'Hazard Weighting Functions'!$B$5:$G$1205,4,FALSE)</f>
        <v>1</v>
      </c>
      <c r="BS142" s="25">
        <f t="shared" si="60"/>
        <v>149396.28523441509</v>
      </c>
      <c r="BT142" s="25">
        <f t="shared" si="61"/>
        <v>729066.83181208675</v>
      </c>
      <c r="BV142" s="25">
        <f>VLOOKUP(BK142,'Hazard Weighting Functions'!$B$5:$G$1205,5,FALSE)</f>
        <v>1.4840000000000001E-3</v>
      </c>
      <c r="BW142" s="25">
        <f t="shared" si="62"/>
        <v>17.851067498589632</v>
      </c>
      <c r="BX142" s="25">
        <f t="shared" si="63"/>
        <v>72.399777884996553</v>
      </c>
    </row>
    <row r="143" spans="2:76">
      <c r="B143" s="25">
        <v>470</v>
      </c>
      <c r="C143" s="36">
        <v>54.010873905227015</v>
      </c>
      <c r="E143" s="25">
        <v>470</v>
      </c>
      <c r="F143" s="36"/>
      <c r="H143" s="25">
        <v>470</v>
      </c>
      <c r="I143" s="36"/>
      <c r="K143" s="25">
        <v>1570</v>
      </c>
      <c r="L143" s="36"/>
      <c r="N143" s="25">
        <v>720</v>
      </c>
      <c r="O143" s="36">
        <v>10610.165859989482</v>
      </c>
      <c r="Q143" s="20">
        <v>600</v>
      </c>
      <c r="R143" s="36">
        <v>142230.44749041961</v>
      </c>
      <c r="V143" s="25">
        <f t="shared" si="41"/>
        <v>470</v>
      </c>
      <c r="W143" s="25">
        <f t="shared" si="41"/>
        <v>54.010873905227015</v>
      </c>
      <c r="Y143" s="25">
        <f t="shared" si="42"/>
        <v>470</v>
      </c>
      <c r="Z143" s="25">
        <f t="shared" si="42"/>
        <v>54.010873905227015</v>
      </c>
      <c r="AA143" s="25">
        <f>VLOOKUP(Y143,'Hazard Weighting Functions'!$B$5:$G$1205,2,FALSE)</f>
        <v>0</v>
      </c>
      <c r="AB143" s="25">
        <f t="shared" si="43"/>
        <v>0</v>
      </c>
      <c r="AC143" s="25">
        <f t="shared" si="44"/>
        <v>0</v>
      </c>
      <c r="AE143" s="25">
        <f>VLOOKUP(Y143,'Hazard Weighting Functions'!$B$5:$G$1205,3,FALSE)</f>
        <v>0.62</v>
      </c>
      <c r="AF143" s="25">
        <f t="shared" si="45"/>
        <v>33.486741821240749</v>
      </c>
      <c r="AG143" s="25">
        <f t="shared" si="46"/>
        <v>136.85172495926599</v>
      </c>
      <c r="AH143" s="25">
        <f>VLOOKUP(Y143,'Hazard Weighting Functions'!$B$5:$G$1205,5,FALSE)</f>
        <v>9.0980000000000005E-2</v>
      </c>
      <c r="AI143" s="25">
        <f t="shared" si="47"/>
        <v>4.913909307897554</v>
      </c>
      <c r="AJ143" s="25">
        <f t="shared" si="48"/>
        <v>23.162930374714943</v>
      </c>
      <c r="AM143" s="25">
        <f t="shared" si="65"/>
        <v>231.63604004700233</v>
      </c>
      <c r="AZ143" s="20">
        <f t="shared" si="68"/>
        <v>600</v>
      </c>
      <c r="BA143" s="20">
        <f t="shared" si="68"/>
        <v>142230.44749041961</v>
      </c>
      <c r="BB143" s="25">
        <f>VLOOKUP(AZ143,'Hazard Weighting Functions'!$B$5:$G$1205,3,FALSE)</f>
        <v>1E-3</v>
      </c>
      <c r="BC143" s="25">
        <f t="shared" si="54"/>
        <v>142.23044749041961</v>
      </c>
      <c r="BD143" s="25">
        <f t="shared" si="55"/>
        <v>689.87813075229496</v>
      </c>
      <c r="BF143" s="20">
        <f t="shared" si="69"/>
        <v>920</v>
      </c>
      <c r="BG143" s="20">
        <f t="shared" si="69"/>
        <v>0</v>
      </c>
      <c r="BH143" s="25">
        <f>VLOOKUP(BF143,'Hazard Weighting Functions'!$B$5:$G$1205,4,FALSE)</f>
        <v>0.36299999999999999</v>
      </c>
      <c r="BI143" s="25">
        <f t="shared" si="57"/>
        <v>0</v>
      </c>
      <c r="BJ143" s="25">
        <f t="shared" si="58"/>
        <v>0</v>
      </c>
      <c r="BK143" s="1">
        <f t="shared" si="38"/>
        <v>720</v>
      </c>
      <c r="BL143" s="20">
        <f t="shared" si="38"/>
        <v>10610.165859989482</v>
      </c>
      <c r="BM143" s="25">
        <f>VLOOKUP(BK143,'Hazard Weighting Functions'!$B$5:$G$1205,4,FALSE)</f>
        <v>0.91200000000000003</v>
      </c>
      <c r="BN143" s="25">
        <f t="shared" si="59"/>
        <v>9676.4712643104085</v>
      </c>
      <c r="BO143" s="25">
        <f t="shared" si="67"/>
        <v>45060.609536360833</v>
      </c>
      <c r="BP143" s="20">
        <f t="shared" si="39"/>
        <v>600</v>
      </c>
      <c r="BQ143" s="20">
        <f t="shared" si="39"/>
        <v>142230.44749041961</v>
      </c>
      <c r="BR143" s="25">
        <f>VLOOKUP(BP143,'Hazard Weighting Functions'!$B$5:$G$1205,4,FALSE)</f>
        <v>1</v>
      </c>
      <c r="BS143" s="25">
        <f t="shared" si="60"/>
        <v>142230.44749041961</v>
      </c>
      <c r="BT143" s="25">
        <f t="shared" si="61"/>
        <v>689878.13075229502</v>
      </c>
      <c r="BV143" s="25">
        <f>VLOOKUP(BK143,'Hazard Weighting Functions'!$B$5:$G$1205,5,FALSE)</f>
        <v>1.047E-3</v>
      </c>
      <c r="BW143" s="25">
        <f t="shared" si="62"/>
        <v>11.108843655408988</v>
      </c>
      <c r="BX143" s="25">
        <f t="shared" si="63"/>
        <v>45.104745746752279</v>
      </c>
    </row>
    <row r="144" spans="2:76">
      <c r="B144" s="25">
        <v>475</v>
      </c>
      <c r="C144" s="36">
        <v>38.643542113573908</v>
      </c>
      <c r="E144" s="25">
        <v>475</v>
      </c>
      <c r="F144" s="36"/>
      <c r="H144" s="25">
        <v>475</v>
      </c>
      <c r="I144" s="36"/>
      <c r="K144" s="25">
        <v>1575</v>
      </c>
      <c r="L144" s="36"/>
      <c r="N144" s="25">
        <v>725</v>
      </c>
      <c r="O144" s="36">
        <v>9368.9927612053034</v>
      </c>
      <c r="Q144" s="20">
        <v>605</v>
      </c>
      <c r="R144" s="36">
        <v>133720.80481049838</v>
      </c>
      <c r="V144" s="25">
        <f t="shared" si="41"/>
        <v>475</v>
      </c>
      <c r="W144" s="25">
        <f t="shared" si="41"/>
        <v>38.643542113573908</v>
      </c>
      <c r="Y144" s="25">
        <f t="shared" si="42"/>
        <v>475</v>
      </c>
      <c r="Z144" s="25">
        <f t="shared" si="42"/>
        <v>38.643542113573908</v>
      </c>
      <c r="AA144" s="25">
        <f>VLOOKUP(Y144,'Hazard Weighting Functions'!$B$5:$G$1205,2,FALSE)</f>
        <v>0</v>
      </c>
      <c r="AB144" s="25">
        <f t="shared" si="43"/>
        <v>0</v>
      </c>
      <c r="AC144" s="25">
        <f t="shared" si="44"/>
        <v>0</v>
      </c>
      <c r="AE144" s="25">
        <f>VLOOKUP(Y144,'Hazard Weighting Functions'!$B$5:$G$1205,3,FALSE)</f>
        <v>0.55000000000000004</v>
      </c>
      <c r="AF144" s="25">
        <f t="shared" si="45"/>
        <v>21.253948162465651</v>
      </c>
      <c r="AG144" s="25">
        <f t="shared" si="46"/>
        <v>87.252254366650618</v>
      </c>
      <c r="AH144" s="25">
        <f>VLOOKUP(Y144,'Hazard Weighting Functions'!$B$5:$G$1205,5,FALSE)</f>
        <v>0.11260000000000001</v>
      </c>
      <c r="AI144" s="25">
        <f t="shared" si="47"/>
        <v>4.3512628419884223</v>
      </c>
      <c r="AJ144" s="25">
        <f t="shared" si="48"/>
        <v>21.418154256497349</v>
      </c>
      <c r="AM144" s="25">
        <f t="shared" si="65"/>
        <v>172.42526408501587</v>
      </c>
      <c r="AZ144" s="20">
        <f t="shared" si="68"/>
        <v>605</v>
      </c>
      <c r="BA144" s="20">
        <f t="shared" si="68"/>
        <v>133720.80481049838</v>
      </c>
      <c r="BB144" s="25">
        <f>VLOOKUP(AZ144,'Hazard Weighting Functions'!$B$5:$G$1205,3,FALSE)</f>
        <v>1E-3</v>
      </c>
      <c r="BC144" s="25">
        <f t="shared" si="54"/>
        <v>133.72080481049838</v>
      </c>
      <c r="BD144" s="25">
        <f t="shared" si="55"/>
        <v>646.66495747611975</v>
      </c>
      <c r="BF144" s="20">
        <f t="shared" si="69"/>
        <v>925</v>
      </c>
      <c r="BG144" s="20">
        <f t="shared" si="69"/>
        <v>0</v>
      </c>
      <c r="BH144" s="25">
        <f>VLOOKUP(BF144,'Hazard Weighting Functions'!$B$5:$G$1205,4,FALSE)</f>
        <v>0.35499999999999998</v>
      </c>
      <c r="BI144" s="25">
        <f t="shared" si="57"/>
        <v>0</v>
      </c>
      <c r="BJ144" s="25">
        <f t="shared" si="58"/>
        <v>0</v>
      </c>
      <c r="BK144" s="1">
        <f t="shared" si="38"/>
        <v>725</v>
      </c>
      <c r="BL144" s="20">
        <f t="shared" si="38"/>
        <v>9368.9927612053034</v>
      </c>
      <c r="BM144" s="25">
        <f>VLOOKUP(BK144,'Hazard Weighting Functions'!$B$5:$G$1205,4,FALSE)</f>
        <v>0.89100000000000001</v>
      </c>
      <c r="BN144" s="25">
        <f t="shared" si="59"/>
        <v>8347.7725502339254</v>
      </c>
      <c r="BO144" s="25">
        <f t="shared" si="67"/>
        <v>38922.931057332687</v>
      </c>
      <c r="BP144" s="20">
        <f t="shared" si="39"/>
        <v>605</v>
      </c>
      <c r="BQ144" s="20">
        <f t="shared" si="39"/>
        <v>133720.80481049838</v>
      </c>
      <c r="BR144" s="25">
        <f>VLOOKUP(BP144,'Hazard Weighting Functions'!$B$5:$G$1205,4,FALSE)</f>
        <v>1</v>
      </c>
      <c r="BS144" s="25">
        <f t="shared" si="60"/>
        <v>133720.80481049838</v>
      </c>
      <c r="BT144" s="25">
        <f t="shared" si="61"/>
        <v>646664.95747611974</v>
      </c>
      <c r="BV144" s="25">
        <f>VLOOKUP(BK144,'Hazard Weighting Functions'!$B$5:$G$1205,5,FALSE)</f>
        <v>7.3999999999999999E-4</v>
      </c>
      <c r="BW144" s="25">
        <f t="shared" si="62"/>
        <v>6.933054643291924</v>
      </c>
      <c r="BX144" s="25">
        <f t="shared" si="63"/>
        <v>28.11084537345242</v>
      </c>
    </row>
    <row r="145" spans="2:76">
      <c r="B145" s="25">
        <v>480</v>
      </c>
      <c r="C145" s="36">
        <v>30.326563520432433</v>
      </c>
      <c r="E145" s="25">
        <v>480</v>
      </c>
      <c r="F145" s="36"/>
      <c r="H145" s="25">
        <v>480</v>
      </c>
      <c r="I145" s="36"/>
      <c r="K145" s="25">
        <v>1580</v>
      </c>
      <c r="L145" s="36"/>
      <c r="N145" s="25">
        <v>730</v>
      </c>
      <c r="O145" s="36">
        <v>8290.9298194020084</v>
      </c>
      <c r="Q145" s="20">
        <v>610</v>
      </c>
      <c r="R145" s="36">
        <v>124945.17817994952</v>
      </c>
      <c r="V145" s="25">
        <f t="shared" si="41"/>
        <v>480</v>
      </c>
      <c r="W145" s="25">
        <f t="shared" si="41"/>
        <v>30.326563520432433</v>
      </c>
      <c r="Y145" s="25">
        <f t="shared" si="42"/>
        <v>480</v>
      </c>
      <c r="Z145" s="25">
        <f t="shared" si="42"/>
        <v>30.326563520432433</v>
      </c>
      <c r="AA145" s="25">
        <f>VLOOKUP(Y145,'Hazard Weighting Functions'!$B$5:$G$1205,2,FALSE)</f>
        <v>0</v>
      </c>
      <c r="AB145" s="25">
        <f t="shared" si="43"/>
        <v>0</v>
      </c>
      <c r="AC145" s="25">
        <f t="shared" si="44"/>
        <v>0</v>
      </c>
      <c r="AE145" s="25">
        <f>VLOOKUP(Y145,'Hazard Weighting Functions'!$B$5:$G$1205,3,FALSE)</f>
        <v>0.45</v>
      </c>
      <c r="AF145" s="25">
        <f t="shared" si="45"/>
        <v>13.646953584194595</v>
      </c>
      <c r="AG145" s="25">
        <f t="shared" si="46"/>
        <v>61.945617860581294</v>
      </c>
      <c r="AH145" s="25">
        <f>VLOOKUP(Y145,'Hazard Weighting Functions'!$B$5:$G$1205,5,FALSE)</f>
        <v>0.13902</v>
      </c>
      <c r="AI145" s="25">
        <f t="shared" si="47"/>
        <v>4.215998860610517</v>
      </c>
      <c r="AJ145" s="25">
        <f t="shared" si="48"/>
        <v>22.318297149741419</v>
      </c>
      <c r="AM145" s="25">
        <f t="shared" si="65"/>
        <v>145.38699355131808</v>
      </c>
      <c r="AZ145" s="20">
        <f t="shared" si="68"/>
        <v>610</v>
      </c>
      <c r="BA145" s="20">
        <f t="shared" si="68"/>
        <v>124945.17817994952</v>
      </c>
      <c r="BB145" s="25">
        <f>VLOOKUP(AZ145,'Hazard Weighting Functions'!$B$5:$G$1205,3,FALSE)</f>
        <v>1E-3</v>
      </c>
      <c r="BC145" s="25">
        <f t="shared" si="54"/>
        <v>124.94517817994952</v>
      </c>
      <c r="BD145" s="25">
        <f t="shared" si="55"/>
        <v>603.38943477663747</v>
      </c>
      <c r="BF145" s="20">
        <f t="shared" si="69"/>
        <v>930</v>
      </c>
      <c r="BG145" s="20">
        <f t="shared" si="69"/>
        <v>0</v>
      </c>
      <c r="BH145" s="25">
        <f>VLOOKUP(BF145,'Hazard Weighting Functions'!$B$5:$G$1205,4,FALSE)</f>
        <v>0.34699999999999998</v>
      </c>
      <c r="BI145" s="25">
        <f t="shared" si="57"/>
        <v>0</v>
      </c>
      <c r="BJ145" s="25">
        <f t="shared" si="58"/>
        <v>0</v>
      </c>
      <c r="BK145" s="1">
        <f t="shared" si="38"/>
        <v>730</v>
      </c>
      <c r="BL145" s="20">
        <f t="shared" si="38"/>
        <v>8290.9298194020084</v>
      </c>
      <c r="BM145" s="25">
        <f>VLOOKUP(BK145,'Hazard Weighting Functions'!$B$5:$G$1205,4,FALSE)</f>
        <v>0.871</v>
      </c>
      <c r="BN145" s="25">
        <f t="shared" si="59"/>
        <v>7221.3998726991495</v>
      </c>
      <c r="BO145" s="25">
        <f t="shared" si="67"/>
        <v>33576.910074911153</v>
      </c>
      <c r="BP145" s="20">
        <f t="shared" si="39"/>
        <v>610</v>
      </c>
      <c r="BQ145" s="20">
        <f t="shared" si="39"/>
        <v>124945.17817994952</v>
      </c>
      <c r="BR145" s="25">
        <f>VLOOKUP(BP145,'Hazard Weighting Functions'!$B$5:$G$1205,4,FALSE)</f>
        <v>1</v>
      </c>
      <c r="BS145" s="25">
        <f t="shared" si="60"/>
        <v>124945.17817994952</v>
      </c>
      <c r="BT145" s="25">
        <f t="shared" si="61"/>
        <v>603389.43477663747</v>
      </c>
      <c r="BV145" s="25">
        <f>VLOOKUP(BK145,'Hazard Weighting Functions'!$B$5:$G$1205,5,FALSE)</f>
        <v>5.1999999999999995E-4</v>
      </c>
      <c r="BW145" s="25">
        <f t="shared" si="62"/>
        <v>4.311283506089044</v>
      </c>
      <c r="BX145" s="25">
        <f t="shared" si="63"/>
        <v>17.365169391510811</v>
      </c>
    </row>
    <row r="146" spans="2:76">
      <c r="B146" s="25">
        <v>485</v>
      </c>
      <c r="C146" s="36">
        <v>27.828233900094805</v>
      </c>
      <c r="E146" s="25">
        <v>485</v>
      </c>
      <c r="F146" s="36"/>
      <c r="H146" s="25">
        <v>485</v>
      </c>
      <c r="I146" s="36"/>
      <c r="K146" s="25">
        <v>1585</v>
      </c>
      <c r="L146" s="36"/>
      <c r="N146" s="25">
        <v>735</v>
      </c>
      <c r="O146" s="36">
        <v>7296.5501260461942</v>
      </c>
      <c r="Q146" s="20">
        <v>615</v>
      </c>
      <c r="R146" s="36">
        <v>116410.59573070548</v>
      </c>
      <c r="V146" s="25">
        <f t="shared" si="41"/>
        <v>485</v>
      </c>
      <c r="W146" s="25">
        <f t="shared" si="41"/>
        <v>27.828233900094805</v>
      </c>
      <c r="Y146" s="25">
        <f t="shared" si="42"/>
        <v>485</v>
      </c>
      <c r="Z146" s="25">
        <f t="shared" si="42"/>
        <v>27.828233900094805</v>
      </c>
      <c r="AA146" s="25">
        <f>VLOOKUP(Y146,'Hazard Weighting Functions'!$B$5:$G$1205,2,FALSE)</f>
        <v>0</v>
      </c>
      <c r="AB146" s="25">
        <f t="shared" si="43"/>
        <v>0</v>
      </c>
      <c r="AC146" s="25">
        <f t="shared" si="44"/>
        <v>0</v>
      </c>
      <c r="AE146" s="25">
        <f>VLOOKUP(Y146,'Hazard Weighting Functions'!$B$5:$G$1205,3,FALSE)</f>
        <v>0.4</v>
      </c>
      <c r="AF146" s="25">
        <f t="shared" si="45"/>
        <v>11.131293560037923</v>
      </c>
      <c r="AG146" s="25">
        <f t="shared" si="46"/>
        <v>44.021304985682733</v>
      </c>
      <c r="AH146" s="25">
        <f>VLOOKUP(Y146,'Hazard Weighting Functions'!$B$5:$G$1205,5,FALSE)</f>
        <v>0.16930000000000001</v>
      </c>
      <c r="AI146" s="25">
        <f t="shared" si="47"/>
        <v>4.7113199992860508</v>
      </c>
      <c r="AJ146" s="25">
        <f t="shared" si="48"/>
        <v>27.089584758324218</v>
      </c>
      <c r="AM146" s="25">
        <f t="shared" si="65"/>
        <v>143.17545332109123</v>
      </c>
      <c r="AZ146" s="20">
        <f t="shared" si="68"/>
        <v>615</v>
      </c>
      <c r="BA146" s="20">
        <f t="shared" si="68"/>
        <v>116410.59573070548</v>
      </c>
      <c r="BB146" s="25">
        <f>VLOOKUP(AZ146,'Hazard Weighting Functions'!$B$5:$G$1205,3,FALSE)</f>
        <v>1E-3</v>
      </c>
      <c r="BC146" s="25">
        <f t="shared" si="54"/>
        <v>116.41059573070548</v>
      </c>
      <c r="BD146" s="25">
        <f t="shared" si="55"/>
        <v>560.31959787876622</v>
      </c>
      <c r="BF146" s="20">
        <f t="shared" si="69"/>
        <v>935</v>
      </c>
      <c r="BG146" s="20">
        <f t="shared" si="69"/>
        <v>0</v>
      </c>
      <c r="BH146" s="25">
        <f>VLOOKUP(BF146,'Hazard Weighting Functions'!$B$5:$G$1205,4,FALSE)</f>
        <v>0.33900000000000002</v>
      </c>
      <c r="BI146" s="25">
        <f t="shared" si="57"/>
        <v>0</v>
      </c>
      <c r="BJ146" s="25">
        <f t="shared" si="58"/>
        <v>0</v>
      </c>
      <c r="BK146" s="1">
        <f t="shared" si="38"/>
        <v>735</v>
      </c>
      <c r="BL146" s="20">
        <f t="shared" si="38"/>
        <v>7296.5501260461942</v>
      </c>
      <c r="BM146" s="25">
        <f>VLOOKUP(BK146,'Hazard Weighting Functions'!$B$5:$G$1205,4,FALSE)</f>
        <v>0.85099999999999998</v>
      </c>
      <c r="BN146" s="25">
        <f t="shared" si="59"/>
        <v>6209.3641572653114</v>
      </c>
      <c r="BO146" s="25">
        <f t="shared" si="67"/>
        <v>28927.729848500174</v>
      </c>
      <c r="BP146" s="20">
        <f t="shared" si="39"/>
        <v>615</v>
      </c>
      <c r="BQ146" s="20">
        <f t="shared" si="39"/>
        <v>116410.59573070548</v>
      </c>
      <c r="BR146" s="25">
        <f>VLOOKUP(BP146,'Hazard Weighting Functions'!$B$5:$G$1205,4,FALSE)</f>
        <v>1</v>
      </c>
      <c r="BS146" s="25">
        <f t="shared" si="60"/>
        <v>116410.59573070548</v>
      </c>
      <c r="BT146" s="25">
        <f t="shared" si="61"/>
        <v>560319.59787876625</v>
      </c>
      <c r="BV146" s="25">
        <f>VLOOKUP(BK146,'Hazard Weighting Functions'!$B$5:$G$1205,5,FALSE)</f>
        <v>3.611E-4</v>
      </c>
      <c r="BW146" s="25">
        <f t="shared" si="62"/>
        <v>2.6347842505152808</v>
      </c>
      <c r="BX146" s="25">
        <f t="shared" si="63"/>
        <v>10.601812078535744</v>
      </c>
    </row>
    <row r="147" spans="2:76">
      <c r="B147" s="25">
        <v>490</v>
      </c>
      <c r="C147" s="36">
        <v>29.441947428341681</v>
      </c>
      <c r="E147" s="25">
        <v>490</v>
      </c>
      <c r="F147" s="36"/>
      <c r="H147" s="25">
        <v>490</v>
      </c>
      <c r="I147" s="36"/>
      <c r="K147" s="25">
        <v>1590</v>
      </c>
      <c r="L147" s="36"/>
      <c r="N147" s="25">
        <v>740</v>
      </c>
      <c r="O147" s="36">
        <v>6444.3843535273554</v>
      </c>
      <c r="Q147" s="20">
        <v>620</v>
      </c>
      <c r="R147" s="36">
        <v>107717.24342080099</v>
      </c>
      <c r="V147" s="25">
        <f t="shared" si="41"/>
        <v>490</v>
      </c>
      <c r="W147" s="25">
        <f t="shared" si="41"/>
        <v>29.441947428341681</v>
      </c>
      <c r="Y147" s="25">
        <f t="shared" si="42"/>
        <v>490</v>
      </c>
      <c r="Z147" s="25">
        <f t="shared" si="42"/>
        <v>29.441947428341681</v>
      </c>
      <c r="AA147" s="25">
        <f>VLOOKUP(Y147,'Hazard Weighting Functions'!$B$5:$G$1205,2,FALSE)</f>
        <v>0</v>
      </c>
      <c r="AB147" s="25">
        <f t="shared" si="43"/>
        <v>0</v>
      </c>
      <c r="AC147" s="25">
        <f t="shared" si="44"/>
        <v>0</v>
      </c>
      <c r="AE147" s="25">
        <f>VLOOKUP(Y147,'Hazard Weighting Functions'!$B$5:$G$1205,3,FALSE)</f>
        <v>0.22</v>
      </c>
      <c r="AF147" s="25">
        <f t="shared" si="45"/>
        <v>6.4772284342351698</v>
      </c>
      <c r="AG147" s="25">
        <f t="shared" si="46"/>
        <v>30.172091721069336</v>
      </c>
      <c r="AH147" s="25">
        <f>VLOOKUP(Y147,'Hazard Weighting Functions'!$B$5:$G$1205,5,FALSE)</f>
        <v>0.20802000000000001</v>
      </c>
      <c r="AI147" s="25">
        <f t="shared" si="47"/>
        <v>6.1245139040436367</v>
      </c>
      <c r="AJ147" s="25">
        <f t="shared" si="48"/>
        <v>37.904876862205917</v>
      </c>
      <c r="AM147" s="25">
        <f t="shared" si="65"/>
        <v>160.97374754261298</v>
      </c>
      <c r="AZ147" s="20">
        <f t="shared" si="68"/>
        <v>620</v>
      </c>
      <c r="BA147" s="20">
        <f t="shared" si="68"/>
        <v>107717.24342080099</v>
      </c>
      <c r="BB147" s="25">
        <f>VLOOKUP(AZ147,'Hazard Weighting Functions'!$B$5:$G$1205,3,FALSE)</f>
        <v>1E-3</v>
      </c>
      <c r="BC147" s="25">
        <f t="shared" si="54"/>
        <v>107.717243420801</v>
      </c>
      <c r="BD147" s="25">
        <f t="shared" si="55"/>
        <v>516.62266521738616</v>
      </c>
      <c r="BF147" s="20">
        <f t="shared" si="69"/>
        <v>940</v>
      </c>
      <c r="BG147" s="20">
        <f t="shared" si="69"/>
        <v>0</v>
      </c>
      <c r="BH147" s="25">
        <f>VLOOKUP(BF147,'Hazard Weighting Functions'!$B$5:$G$1205,4,FALSE)</f>
        <v>0.33100000000000002</v>
      </c>
      <c r="BI147" s="25">
        <f t="shared" si="57"/>
        <v>0</v>
      </c>
      <c r="BJ147" s="25">
        <f t="shared" si="58"/>
        <v>0</v>
      </c>
      <c r="BK147" s="1">
        <f t="shared" si="38"/>
        <v>740</v>
      </c>
      <c r="BL147" s="20">
        <f t="shared" si="38"/>
        <v>6444.3843535273554</v>
      </c>
      <c r="BM147" s="25">
        <f>VLOOKUP(BK147,'Hazard Weighting Functions'!$B$5:$G$1205,4,FALSE)</f>
        <v>0.83199999999999996</v>
      </c>
      <c r="BN147" s="25">
        <f t="shared" si="59"/>
        <v>5361.7277821347598</v>
      </c>
      <c r="BO147" s="25">
        <f t="shared" si="67"/>
        <v>24929.414919121882</v>
      </c>
      <c r="BP147" s="20">
        <f t="shared" si="39"/>
        <v>620</v>
      </c>
      <c r="BQ147" s="20">
        <f t="shared" si="39"/>
        <v>107717.24342080099</v>
      </c>
      <c r="BR147" s="25">
        <f>VLOOKUP(BP147,'Hazard Weighting Functions'!$B$5:$G$1205,4,FALSE)</f>
        <v>1</v>
      </c>
      <c r="BS147" s="25">
        <f t="shared" si="60"/>
        <v>107717.24342080099</v>
      </c>
      <c r="BT147" s="25">
        <f t="shared" si="61"/>
        <v>516622.66521738609</v>
      </c>
      <c r="BV147" s="25">
        <f>VLOOKUP(BK147,'Hazard Weighting Functions'!$B$5:$G$1205,5,FALSE)</f>
        <v>2.4919999999999999E-4</v>
      </c>
      <c r="BW147" s="25">
        <f t="shared" si="62"/>
        <v>1.6059405808990168</v>
      </c>
      <c r="BX147" s="25">
        <f t="shared" si="63"/>
        <v>6.4517074303836282</v>
      </c>
    </row>
    <row r="148" spans="2:76">
      <c r="B148" s="25">
        <v>495</v>
      </c>
      <c r="C148" s="36">
        <v>34.947551588703519</v>
      </c>
      <c r="E148" s="25">
        <v>495</v>
      </c>
      <c r="F148" s="36"/>
      <c r="H148" s="25">
        <v>495</v>
      </c>
      <c r="I148" s="36"/>
      <c r="K148" s="25">
        <v>1595</v>
      </c>
      <c r="L148" s="36"/>
      <c r="N148" s="25">
        <v>745</v>
      </c>
      <c r="O148" s="36">
        <v>5670.4036722189339</v>
      </c>
      <c r="Q148" s="20">
        <v>625</v>
      </c>
      <c r="R148" s="36">
        <v>98931.822666153457</v>
      </c>
      <c r="V148" s="25">
        <f t="shared" si="41"/>
        <v>495</v>
      </c>
      <c r="W148" s="25">
        <f t="shared" si="41"/>
        <v>34.947551588703519</v>
      </c>
      <c r="Y148" s="25">
        <f t="shared" si="42"/>
        <v>495</v>
      </c>
      <c r="Z148" s="25">
        <f t="shared" si="42"/>
        <v>34.947551588703519</v>
      </c>
      <c r="AA148" s="25">
        <f>VLOOKUP(Y148,'Hazard Weighting Functions'!$B$5:$G$1205,2,FALSE)</f>
        <v>0</v>
      </c>
      <c r="AB148" s="25">
        <f t="shared" si="43"/>
        <v>0</v>
      </c>
      <c r="AC148" s="25">
        <f t="shared" si="44"/>
        <v>0</v>
      </c>
      <c r="AE148" s="25">
        <f>VLOOKUP(Y148,'Hazard Weighting Functions'!$B$5:$G$1205,3,FALSE)</f>
        <v>0.16</v>
      </c>
      <c r="AF148" s="25">
        <f t="shared" si="45"/>
        <v>5.5916082541925629</v>
      </c>
      <c r="AG148" s="25">
        <f t="shared" si="46"/>
        <v>25.120338969614874</v>
      </c>
      <c r="AH148" s="25">
        <f>VLOOKUP(Y148,'Hazard Weighting Functions'!$B$5:$G$1205,5,FALSE)</f>
        <v>0.2586</v>
      </c>
      <c r="AI148" s="25">
        <f t="shared" si="47"/>
        <v>9.0374368408387298</v>
      </c>
      <c r="AJ148" s="25">
        <f t="shared" si="48"/>
        <v>58.580050321347926</v>
      </c>
      <c r="AM148" s="25">
        <f t="shared" si="65"/>
        <v>198.78206231309349</v>
      </c>
      <c r="AZ148" s="20">
        <f t="shared" si="68"/>
        <v>625</v>
      </c>
      <c r="BA148" s="20">
        <f t="shared" si="68"/>
        <v>98931.822666153457</v>
      </c>
      <c r="BB148" s="25">
        <f>VLOOKUP(AZ148,'Hazard Weighting Functions'!$B$5:$G$1205,3,FALSE)</f>
        <v>1E-3</v>
      </c>
      <c r="BC148" s="25">
        <f t="shared" si="54"/>
        <v>98.931822666153465</v>
      </c>
      <c r="BD148" s="25">
        <f t="shared" si="55"/>
        <v>474.54098085265173</v>
      </c>
      <c r="BF148" s="20">
        <f t="shared" si="69"/>
        <v>945</v>
      </c>
      <c r="BG148" s="20">
        <f t="shared" si="69"/>
        <v>0</v>
      </c>
      <c r="BH148" s="25">
        <f>VLOOKUP(BF148,'Hazard Weighting Functions'!$B$5:$G$1205,4,FALSE)</f>
        <v>0.32400000000000001</v>
      </c>
      <c r="BI148" s="25">
        <f t="shared" si="57"/>
        <v>0</v>
      </c>
      <c r="BJ148" s="25">
        <f t="shared" si="58"/>
        <v>0</v>
      </c>
      <c r="BK148" s="1">
        <f t="shared" si="38"/>
        <v>745</v>
      </c>
      <c r="BL148" s="20">
        <f t="shared" si="38"/>
        <v>5670.4036722189339</v>
      </c>
      <c r="BM148" s="25">
        <f>VLOOKUP(BK148,'Hazard Weighting Functions'!$B$5:$G$1205,4,FALSE)</f>
        <v>0.81299999999999994</v>
      </c>
      <c r="BN148" s="25">
        <f t="shared" si="59"/>
        <v>4610.0381855139931</v>
      </c>
      <c r="BO148" s="25">
        <f t="shared" si="67"/>
        <v>21477.399964725537</v>
      </c>
      <c r="BP148" s="20">
        <f t="shared" si="39"/>
        <v>625</v>
      </c>
      <c r="BQ148" s="20">
        <f t="shared" si="39"/>
        <v>98931.822666153457</v>
      </c>
      <c r="BR148" s="25">
        <f>VLOOKUP(BP148,'Hazard Weighting Functions'!$B$5:$G$1205,4,FALSE)</f>
        <v>1</v>
      </c>
      <c r="BS148" s="25">
        <f t="shared" si="60"/>
        <v>98931.822666153457</v>
      </c>
      <c r="BT148" s="25">
        <f t="shared" si="61"/>
        <v>474540.9808526517</v>
      </c>
      <c r="BV148" s="25">
        <f>VLOOKUP(BK148,'Hazard Weighting Functions'!$B$5:$G$1205,5,FALSE)</f>
        <v>1.719E-4</v>
      </c>
      <c r="BW148" s="25">
        <f t="shared" si="62"/>
        <v>0.97474239125443474</v>
      </c>
      <c r="BX148" s="25">
        <f t="shared" si="63"/>
        <v>3.9409826029633743</v>
      </c>
    </row>
    <row r="149" spans="2:76">
      <c r="B149" s="25">
        <v>500</v>
      </c>
      <c r="C149" s="36">
        <v>44.56527333653387</v>
      </c>
      <c r="E149" s="25">
        <v>500</v>
      </c>
      <c r="F149" s="36"/>
      <c r="H149" s="25">
        <v>500</v>
      </c>
      <c r="I149" s="36"/>
      <c r="K149" s="25">
        <v>1600</v>
      </c>
      <c r="L149" s="36"/>
      <c r="N149" s="25">
        <v>750</v>
      </c>
      <c r="O149" s="36">
        <v>5013.7554160909576</v>
      </c>
      <c r="Q149" s="20">
        <v>630</v>
      </c>
      <c r="R149" s="36">
        <v>90884.569674907223</v>
      </c>
      <c r="V149" s="25">
        <f t="shared" si="41"/>
        <v>500</v>
      </c>
      <c r="W149" s="25">
        <f t="shared" si="41"/>
        <v>44.56527333653387</v>
      </c>
      <c r="Y149" s="25">
        <f t="shared" si="42"/>
        <v>500</v>
      </c>
      <c r="Z149" s="25">
        <f t="shared" si="42"/>
        <v>44.56527333653387</v>
      </c>
      <c r="AA149" s="25">
        <f>VLOOKUP(Y149,'Hazard Weighting Functions'!$B$5:$G$1205,2,FALSE)</f>
        <v>0</v>
      </c>
      <c r="AB149" s="25">
        <f t="shared" si="43"/>
        <v>0</v>
      </c>
      <c r="AC149" s="25">
        <f t="shared" si="44"/>
        <v>0</v>
      </c>
      <c r="AE149" s="25">
        <f>VLOOKUP(Y149,'Hazard Weighting Functions'!$B$5:$G$1205,3,FALSE)</f>
        <v>0.1</v>
      </c>
      <c r="AF149" s="25">
        <f t="shared" si="45"/>
        <v>4.456527333653387</v>
      </c>
      <c r="AG149" s="25">
        <f t="shared" si="46"/>
        <v>22.387713932719102</v>
      </c>
      <c r="AH149" s="25">
        <f>VLOOKUP(Y149,'Hazard Weighting Functions'!$B$5:$G$1205,5,FALSE)</f>
        <v>0.32300000000000001</v>
      </c>
      <c r="AI149" s="25">
        <f t="shared" si="47"/>
        <v>14.39458328770044</v>
      </c>
      <c r="AJ149" s="25">
        <f t="shared" si="48"/>
        <v>93.969457299047662</v>
      </c>
      <c r="AM149" s="25">
        <f t="shared" si="65"/>
        <v>253.77262129811484</v>
      </c>
      <c r="AZ149" s="20">
        <f t="shared" si="68"/>
        <v>630</v>
      </c>
      <c r="BA149" s="20">
        <f t="shared" si="68"/>
        <v>90884.569674907223</v>
      </c>
      <c r="BB149" s="25">
        <f>VLOOKUP(AZ149,'Hazard Weighting Functions'!$B$5:$G$1205,3,FALSE)</f>
        <v>1E-3</v>
      </c>
      <c r="BC149" s="25">
        <f t="shared" si="54"/>
        <v>90.884569674907226</v>
      </c>
      <c r="BD149" s="25">
        <f t="shared" si="55"/>
        <v>434.31284463396872</v>
      </c>
      <c r="BF149" s="20">
        <f t="shared" si="69"/>
        <v>950</v>
      </c>
      <c r="BG149" s="20">
        <f t="shared" si="69"/>
        <v>0</v>
      </c>
      <c r="BH149" s="25">
        <f>VLOOKUP(BF149,'Hazard Weighting Functions'!$B$5:$G$1205,4,FALSE)</f>
        <v>0.316</v>
      </c>
      <c r="BI149" s="25">
        <f t="shared" si="57"/>
        <v>0</v>
      </c>
      <c r="BJ149" s="25">
        <f t="shared" si="58"/>
        <v>0</v>
      </c>
      <c r="BK149" s="1">
        <f t="shared" si="38"/>
        <v>750</v>
      </c>
      <c r="BL149" s="20">
        <f t="shared" si="38"/>
        <v>5013.7554160909576</v>
      </c>
      <c r="BM149" s="25">
        <f>VLOOKUP(BK149,'Hazard Weighting Functions'!$B$5:$G$1205,4,FALSE)</f>
        <v>0.79400000000000004</v>
      </c>
      <c r="BN149" s="25">
        <f t="shared" si="59"/>
        <v>3980.9218003762207</v>
      </c>
      <c r="BO149" s="25">
        <f t="shared" si="67"/>
        <v>18533.224610570323</v>
      </c>
      <c r="BP149" s="20">
        <f t="shared" si="39"/>
        <v>630</v>
      </c>
      <c r="BQ149" s="20">
        <f t="shared" si="39"/>
        <v>90884.569674907223</v>
      </c>
      <c r="BR149" s="25">
        <f>VLOOKUP(BP149,'Hazard Weighting Functions'!$B$5:$G$1205,4,FALSE)</f>
        <v>1</v>
      </c>
      <c r="BS149" s="25">
        <f t="shared" si="60"/>
        <v>90884.569674907223</v>
      </c>
      <c r="BT149" s="25">
        <f t="shared" si="61"/>
        <v>434312.84463396872</v>
      </c>
      <c r="BV149" s="25">
        <f>VLOOKUP(BK149,'Hazard Weighting Functions'!$B$5:$G$1205,5,FALSE)</f>
        <v>1.2E-4</v>
      </c>
      <c r="BW149" s="25">
        <f t="shared" si="62"/>
        <v>0.60165064993091488</v>
      </c>
      <c r="BX149" s="25">
        <f t="shared" si="63"/>
        <v>2.4418354203126027</v>
      </c>
    </row>
    <row r="150" spans="2:76">
      <c r="B150" s="25">
        <v>505</v>
      </c>
      <c r="C150" s="36">
        <v>56.943775182712066</v>
      </c>
      <c r="E150" s="25">
        <v>505</v>
      </c>
      <c r="F150" s="36"/>
      <c r="H150" s="25">
        <v>505</v>
      </c>
      <c r="I150" s="36"/>
      <c r="K150" s="25">
        <v>1605</v>
      </c>
      <c r="L150" s="36"/>
      <c r="N150" s="25">
        <v>755</v>
      </c>
      <c r="O150" s="36">
        <v>4423.15469568545</v>
      </c>
      <c r="Q150" s="20">
        <v>635</v>
      </c>
      <c r="R150" s="36">
        <v>82840.56817868026</v>
      </c>
      <c r="V150" s="25">
        <f t="shared" si="41"/>
        <v>505</v>
      </c>
      <c r="W150" s="25">
        <f t="shared" si="41"/>
        <v>56.943775182712066</v>
      </c>
      <c r="Y150" s="25">
        <f t="shared" si="42"/>
        <v>505</v>
      </c>
      <c r="Z150" s="25">
        <f t="shared" si="42"/>
        <v>56.943775182712066</v>
      </c>
      <c r="AA150" s="25">
        <f>VLOOKUP(Y150,'Hazard Weighting Functions'!$B$5:$G$1205,2,FALSE)</f>
        <v>0</v>
      </c>
      <c r="AB150" s="25">
        <f t="shared" si="43"/>
        <v>0</v>
      </c>
      <c r="AC150" s="25">
        <f t="shared" si="44"/>
        <v>0</v>
      </c>
      <c r="AE150" s="25">
        <f>VLOOKUP(Y150,'Hazard Weighting Functions'!$B$5:$G$1205,3,FALSE)</f>
        <v>7.9000000000000001E-2</v>
      </c>
      <c r="AF150" s="25">
        <f t="shared" si="45"/>
        <v>4.4985582394342529</v>
      </c>
      <c r="AG150" s="25">
        <f t="shared" si="46"/>
        <v>22.25470143344775</v>
      </c>
      <c r="AH150" s="25">
        <f>VLOOKUP(Y150,'Hazard Weighting Functions'!$B$5:$G$1205,5,FALSE)</f>
        <v>0.4073</v>
      </c>
      <c r="AI150" s="25">
        <f t="shared" si="47"/>
        <v>23.193199631918624</v>
      </c>
      <c r="AJ150" s="25">
        <f t="shared" si="48"/>
        <v>145.87471074544172</v>
      </c>
      <c r="AM150" s="25">
        <f t="shared" si="65"/>
        <v>317.09445120855975</v>
      </c>
      <c r="AZ150" s="20">
        <f t="shared" si="68"/>
        <v>635</v>
      </c>
      <c r="BA150" s="20">
        <f t="shared" si="68"/>
        <v>82840.56817868026</v>
      </c>
      <c r="BB150" s="25">
        <f>VLOOKUP(AZ150,'Hazard Weighting Functions'!$B$5:$G$1205,3,FALSE)</f>
        <v>1E-3</v>
      </c>
      <c r="BC150" s="25">
        <f t="shared" si="54"/>
        <v>82.840568178680257</v>
      </c>
      <c r="BD150" s="25">
        <f t="shared" si="55"/>
        <v>395.1239070033759</v>
      </c>
      <c r="BF150" s="20">
        <f t="shared" si="69"/>
        <v>955</v>
      </c>
      <c r="BG150" s="20">
        <f t="shared" si="69"/>
        <v>0</v>
      </c>
      <c r="BH150" s="25">
        <f>VLOOKUP(BF150,'Hazard Weighting Functions'!$B$5:$G$1205,4,FALSE)</f>
        <v>0.309</v>
      </c>
      <c r="BI150" s="25">
        <f t="shared" si="57"/>
        <v>0</v>
      </c>
      <c r="BJ150" s="25">
        <f t="shared" si="58"/>
        <v>0</v>
      </c>
      <c r="BK150" s="1">
        <f t="shared" si="38"/>
        <v>755</v>
      </c>
      <c r="BL150" s="20">
        <f t="shared" si="38"/>
        <v>4423.15469568545</v>
      </c>
      <c r="BM150" s="25">
        <f>VLOOKUP(BK150,'Hazard Weighting Functions'!$B$5:$G$1205,4,FALSE)</f>
        <v>0.77600000000000002</v>
      </c>
      <c r="BN150" s="25">
        <f t="shared" si="59"/>
        <v>3432.3680438519091</v>
      </c>
      <c r="BO150" s="25">
        <f t="shared" si="67"/>
        <v>15934.43742628785</v>
      </c>
      <c r="BP150" s="20">
        <f t="shared" si="39"/>
        <v>635</v>
      </c>
      <c r="BQ150" s="20">
        <f t="shared" si="39"/>
        <v>82840.56817868026</v>
      </c>
      <c r="BR150" s="25">
        <f>VLOOKUP(BP150,'Hazard Weighting Functions'!$B$5:$G$1205,4,FALSE)</f>
        <v>1</v>
      </c>
      <c r="BS150" s="25">
        <f t="shared" si="60"/>
        <v>82840.56817868026</v>
      </c>
      <c r="BT150" s="25">
        <f t="shared" si="61"/>
        <v>395123.90700337593</v>
      </c>
      <c r="BV150" s="25">
        <f>VLOOKUP(BK150,'Hazard Weighting Functions'!$B$5:$G$1205,5,FALSE)</f>
        <v>8.4800000000000001E-5</v>
      </c>
      <c r="BW150" s="25">
        <f t="shared" si="62"/>
        <v>0.37508351819412616</v>
      </c>
      <c r="BX150" s="25">
        <f t="shared" si="63"/>
        <v>1.5190145122171792</v>
      </c>
    </row>
    <row r="151" spans="2:76">
      <c r="B151" s="25">
        <v>510</v>
      </c>
      <c r="C151" s="36">
        <v>69.894005300711839</v>
      </c>
      <c r="E151" s="25">
        <v>510</v>
      </c>
      <c r="F151" s="36"/>
      <c r="H151" s="25">
        <v>510</v>
      </c>
      <c r="I151" s="36"/>
      <c r="K151" s="25">
        <v>1610</v>
      </c>
      <c r="L151" s="36"/>
      <c r="N151" s="25">
        <v>760</v>
      </c>
      <c r="O151" s="36">
        <v>3875.3714448790915</v>
      </c>
      <c r="Q151" s="20">
        <v>640</v>
      </c>
      <c r="R151" s="36">
        <v>75208.994622670114</v>
      </c>
      <c r="V151" s="25">
        <f t="shared" si="41"/>
        <v>510</v>
      </c>
      <c r="W151" s="25">
        <f t="shared" si="41"/>
        <v>69.894005300711839</v>
      </c>
      <c r="Y151" s="25">
        <f t="shared" si="42"/>
        <v>510</v>
      </c>
      <c r="Z151" s="25">
        <f t="shared" si="42"/>
        <v>69.894005300711839</v>
      </c>
      <c r="AA151" s="25">
        <f>VLOOKUP(Y151,'Hazard Weighting Functions'!$B$5:$G$1205,2,FALSE)</f>
        <v>0</v>
      </c>
      <c r="AB151" s="25">
        <f t="shared" si="43"/>
        <v>0</v>
      </c>
      <c r="AC151" s="25">
        <f t="shared" si="44"/>
        <v>0</v>
      </c>
      <c r="AE151" s="25">
        <f>VLOOKUP(Y151,'Hazard Weighting Functions'!$B$5:$G$1205,3,FALSE)</f>
        <v>6.3E-2</v>
      </c>
      <c r="AF151" s="25">
        <f t="shared" si="45"/>
        <v>4.4033223339448462</v>
      </c>
      <c r="AG151" s="25">
        <f t="shared" si="46"/>
        <v>21.294308994228913</v>
      </c>
      <c r="AH151" s="25">
        <f>VLOOKUP(Y151,'Hazard Weighting Functions'!$B$5:$G$1205,5,FALSE)</f>
        <v>0.503</v>
      </c>
      <c r="AI151" s="25">
        <f t="shared" si="47"/>
        <v>35.156684666258059</v>
      </c>
      <c r="AJ151" s="25">
        <f t="shared" si="48"/>
        <v>213.01065409618289</v>
      </c>
      <c r="AM151" s="25">
        <f t="shared" si="65"/>
        <v>380.45507643911554</v>
      </c>
      <c r="AZ151" s="20">
        <f t="shared" si="68"/>
        <v>640</v>
      </c>
      <c r="BA151" s="20">
        <f t="shared" si="68"/>
        <v>75208.994622670114</v>
      </c>
      <c r="BB151" s="25">
        <f>VLOOKUP(AZ151,'Hazard Weighting Functions'!$B$5:$G$1205,3,FALSE)</f>
        <v>1E-3</v>
      </c>
      <c r="BC151" s="25">
        <f t="shared" si="54"/>
        <v>75.208994622670119</v>
      </c>
      <c r="BD151" s="25">
        <f t="shared" si="55"/>
        <v>358.19520071066063</v>
      </c>
      <c r="BF151" s="20">
        <f t="shared" si="69"/>
        <v>960</v>
      </c>
      <c r="BG151" s="20">
        <f t="shared" si="69"/>
        <v>0</v>
      </c>
      <c r="BH151" s="25">
        <f>VLOOKUP(BF151,'Hazard Weighting Functions'!$B$5:$G$1205,4,FALSE)</f>
        <v>0.30199999999999999</v>
      </c>
      <c r="BI151" s="25">
        <f t="shared" si="57"/>
        <v>0</v>
      </c>
      <c r="BJ151" s="25">
        <f t="shared" si="58"/>
        <v>0</v>
      </c>
      <c r="BK151" s="1">
        <f t="shared" si="38"/>
        <v>760</v>
      </c>
      <c r="BL151" s="20">
        <f t="shared" si="38"/>
        <v>3875.3714448790915</v>
      </c>
      <c r="BM151" s="25">
        <f>VLOOKUP(BK151,'Hazard Weighting Functions'!$B$5:$G$1205,4,FALSE)</f>
        <v>0.75900000000000001</v>
      </c>
      <c r="BN151" s="25">
        <f t="shared" si="59"/>
        <v>2941.4069266632305</v>
      </c>
      <c r="BO151" s="25">
        <f t="shared" si="67"/>
        <v>13680.036550063272</v>
      </c>
      <c r="BP151" s="20">
        <f t="shared" si="39"/>
        <v>640</v>
      </c>
      <c r="BQ151" s="20">
        <f t="shared" si="39"/>
        <v>75208.994622670114</v>
      </c>
      <c r="BR151" s="25">
        <f>VLOOKUP(BP151,'Hazard Weighting Functions'!$B$5:$G$1205,4,FALSE)</f>
        <v>1</v>
      </c>
      <c r="BS151" s="25">
        <f t="shared" si="60"/>
        <v>75208.994622670114</v>
      </c>
      <c r="BT151" s="25">
        <f t="shared" si="61"/>
        <v>358195.20071066066</v>
      </c>
      <c r="BV151" s="25">
        <f>VLOOKUP(BK151,'Hazard Weighting Functions'!$B$5:$G$1205,5,FALSE)</f>
        <v>6.0000000000000002E-5</v>
      </c>
      <c r="BW151" s="25">
        <f t="shared" si="62"/>
        <v>0.23252228669274549</v>
      </c>
      <c r="BX151" s="25">
        <f t="shared" si="63"/>
        <v>0.9433089765110545</v>
      </c>
    </row>
    <row r="152" spans="2:76">
      <c r="B152" s="25">
        <v>515</v>
      </c>
      <c r="C152" s="36">
        <v>82.288025274934384</v>
      </c>
      <c r="E152" s="25">
        <v>515</v>
      </c>
      <c r="F152" s="36"/>
      <c r="H152" s="25">
        <v>515</v>
      </c>
      <c r="I152" s="36"/>
      <c r="K152" s="25">
        <v>1615</v>
      </c>
      <c r="L152" s="36"/>
      <c r="N152" s="25">
        <v>765</v>
      </c>
      <c r="O152" s="36">
        <v>3415.1250922565159</v>
      </c>
      <c r="Q152" s="20">
        <v>645</v>
      </c>
      <c r="R152" s="36">
        <v>68069.085661594145</v>
      </c>
      <c r="V152" s="25">
        <f t="shared" si="41"/>
        <v>515</v>
      </c>
      <c r="W152" s="25">
        <f t="shared" si="41"/>
        <v>82.288025274934384</v>
      </c>
      <c r="Y152" s="25">
        <f t="shared" si="42"/>
        <v>515</v>
      </c>
      <c r="Z152" s="25">
        <f t="shared" si="42"/>
        <v>82.288025274934384</v>
      </c>
      <c r="AA152" s="25">
        <f>VLOOKUP(Y152,'Hazard Weighting Functions'!$B$5:$G$1205,2,FALSE)</f>
        <v>0</v>
      </c>
      <c r="AB152" s="25">
        <f t="shared" si="43"/>
        <v>0</v>
      </c>
      <c r="AC152" s="25">
        <f t="shared" si="44"/>
        <v>0</v>
      </c>
      <c r="AE152" s="25">
        <f>VLOOKUP(Y152,'Hazard Weighting Functions'!$B$5:$G$1205,3,FALSE)</f>
        <v>0.05</v>
      </c>
      <c r="AF152" s="25">
        <f t="shared" si="45"/>
        <v>4.1144012637467196</v>
      </c>
      <c r="AG152" s="25">
        <f t="shared" si="46"/>
        <v>19.595806172887059</v>
      </c>
      <c r="AH152" s="25">
        <f>VLOOKUP(Y152,'Hazard Weighting Functions'!$B$5:$G$1205,5,FALSE)</f>
        <v>0.60819999999999996</v>
      </c>
      <c r="AI152" s="25">
        <f t="shared" si="47"/>
        <v>50.04757697221509</v>
      </c>
      <c r="AJ152" s="25">
        <f t="shared" si="48"/>
        <v>290.36794592052229</v>
      </c>
      <c r="AM152" s="25">
        <f t="shared" si="65"/>
        <v>438.46513852534247</v>
      </c>
      <c r="AZ152" s="20">
        <f t="shared" si="68"/>
        <v>645</v>
      </c>
      <c r="BA152" s="20">
        <f t="shared" si="68"/>
        <v>68069.085661594145</v>
      </c>
      <c r="BB152" s="25">
        <f>VLOOKUP(AZ152,'Hazard Weighting Functions'!$B$5:$G$1205,3,FALSE)</f>
        <v>1E-3</v>
      </c>
      <c r="BC152" s="25">
        <f t="shared" si="54"/>
        <v>68.069085661594144</v>
      </c>
      <c r="BD152" s="25">
        <f t="shared" si="55"/>
        <v>324.35112094926569</v>
      </c>
      <c r="BF152" s="20">
        <f t="shared" si="69"/>
        <v>965</v>
      </c>
      <c r="BG152" s="20">
        <f t="shared" si="69"/>
        <v>0</v>
      </c>
      <c r="BH152" s="25">
        <f>VLOOKUP(BF152,'Hazard Weighting Functions'!$B$5:$G$1205,4,FALSE)</f>
        <v>0.29499999999999998</v>
      </c>
      <c r="BI152" s="25">
        <f t="shared" si="57"/>
        <v>0</v>
      </c>
      <c r="BJ152" s="25">
        <f t="shared" si="58"/>
        <v>0</v>
      </c>
      <c r="BK152" s="1">
        <f t="shared" si="38"/>
        <v>765</v>
      </c>
      <c r="BL152" s="20">
        <f t="shared" si="38"/>
        <v>3415.1250922565159</v>
      </c>
      <c r="BM152" s="25">
        <f>VLOOKUP(BK152,'Hazard Weighting Functions'!$B$5:$G$1205,4,FALSE)</f>
        <v>0.74099999999999999</v>
      </c>
      <c r="BN152" s="25">
        <f t="shared" si="59"/>
        <v>2530.6076933620784</v>
      </c>
      <c r="BO152" s="25">
        <f t="shared" si="67"/>
        <v>11643.354875907789</v>
      </c>
      <c r="BP152" s="20">
        <f t="shared" si="39"/>
        <v>645</v>
      </c>
      <c r="BQ152" s="20">
        <f t="shared" si="39"/>
        <v>68069.085661594145</v>
      </c>
      <c r="BR152" s="25">
        <f>VLOOKUP(BP152,'Hazard Weighting Functions'!$B$5:$G$1205,4,FALSE)</f>
        <v>1</v>
      </c>
      <c r="BS152" s="25">
        <f t="shared" si="60"/>
        <v>68069.085661594145</v>
      </c>
      <c r="BT152" s="25">
        <f t="shared" si="61"/>
        <v>324351.12094926566</v>
      </c>
      <c r="BV152" s="25">
        <f>VLOOKUP(BK152,'Hazard Weighting Functions'!$B$5:$G$1205,5,FALSE)</f>
        <v>4.2400000000000001E-5</v>
      </c>
      <c r="BW152" s="25">
        <f t="shared" si="62"/>
        <v>0.14480130391167628</v>
      </c>
      <c r="BX152" s="25">
        <f t="shared" si="63"/>
        <v>0.58231412894366286</v>
      </c>
    </row>
    <row r="153" spans="2:76">
      <c r="B153" s="25">
        <v>520</v>
      </c>
      <c r="C153" s="36">
        <v>93.098030135202606</v>
      </c>
      <c r="E153" s="25">
        <v>520</v>
      </c>
      <c r="F153" s="36"/>
      <c r="H153" s="25">
        <v>520</v>
      </c>
      <c r="I153" s="36"/>
      <c r="K153" s="25">
        <v>1620</v>
      </c>
      <c r="L153" s="36"/>
      <c r="N153" s="25">
        <v>770</v>
      </c>
      <c r="O153" s="36">
        <v>2937.4782555262955</v>
      </c>
      <c r="Q153" s="20">
        <v>650</v>
      </c>
      <c r="R153" s="36">
        <v>61671.362718112112</v>
      </c>
      <c r="V153" s="25">
        <f t="shared" si="41"/>
        <v>520</v>
      </c>
      <c r="W153" s="25">
        <f t="shared" si="41"/>
        <v>93.098030135202606</v>
      </c>
      <c r="Y153" s="25">
        <f t="shared" si="42"/>
        <v>520</v>
      </c>
      <c r="Z153" s="25">
        <f t="shared" si="42"/>
        <v>93.098030135202606</v>
      </c>
      <c r="AA153" s="25">
        <f>VLOOKUP(Y153,'Hazard Weighting Functions'!$B$5:$G$1205,2,FALSE)</f>
        <v>0</v>
      </c>
      <c r="AB153" s="25">
        <f t="shared" si="43"/>
        <v>0</v>
      </c>
      <c r="AC153" s="25">
        <f t="shared" si="44"/>
        <v>0</v>
      </c>
      <c r="AE153" s="25">
        <f>VLOOKUP(Y153,'Hazard Weighting Functions'!$B$5:$G$1205,3,FALSE)</f>
        <v>0.04</v>
      </c>
      <c r="AF153" s="25">
        <f t="shared" si="45"/>
        <v>3.7239212054081041</v>
      </c>
      <c r="AG153" s="25">
        <f t="shared" si="46"/>
        <v>17.460750722256691</v>
      </c>
      <c r="AH153" s="25">
        <f>VLOOKUP(Y153,'Hazard Weighting Functions'!$B$5:$G$1205,5,FALSE)</f>
        <v>0.71</v>
      </c>
      <c r="AI153" s="25">
        <f t="shared" si="47"/>
        <v>66.099601395993844</v>
      </c>
      <c r="AJ153" s="25">
        <f t="shared" si="48"/>
        <v>367.29061982028895</v>
      </c>
      <c r="AM153" s="25">
        <f t="shared" si="65"/>
        <v>487.46219123602003</v>
      </c>
      <c r="AZ153" s="20">
        <f t="shared" si="68"/>
        <v>650</v>
      </c>
      <c r="BA153" s="20">
        <f t="shared" si="68"/>
        <v>61671.362718112112</v>
      </c>
      <c r="BB153" s="25">
        <f>VLOOKUP(AZ153,'Hazard Weighting Functions'!$B$5:$G$1205,3,FALSE)</f>
        <v>1E-3</v>
      </c>
      <c r="BC153" s="25">
        <f t="shared" si="54"/>
        <v>61.671362718112114</v>
      </c>
      <c r="BD153" s="25">
        <f t="shared" si="55"/>
        <v>292.5787738139627</v>
      </c>
      <c r="BF153" s="20">
        <f t="shared" si="69"/>
        <v>970</v>
      </c>
      <c r="BG153" s="20">
        <f t="shared" si="69"/>
        <v>0</v>
      </c>
      <c r="BH153" s="25">
        <f>VLOOKUP(BF153,'Hazard Weighting Functions'!$B$5:$G$1205,4,FALSE)</f>
        <v>0.28799999999999998</v>
      </c>
      <c r="BI153" s="25">
        <f t="shared" si="57"/>
        <v>0</v>
      </c>
      <c r="BJ153" s="25">
        <f t="shared" si="58"/>
        <v>0</v>
      </c>
      <c r="BK153" s="1">
        <f t="shared" si="38"/>
        <v>770</v>
      </c>
      <c r="BL153" s="20">
        <f t="shared" si="38"/>
        <v>2937.4782555262955</v>
      </c>
      <c r="BM153" s="25">
        <f>VLOOKUP(BK153,'Hazard Weighting Functions'!$B$5:$G$1205,4,FALSE)</f>
        <v>0.72399999999999998</v>
      </c>
      <c r="BN153" s="25">
        <f t="shared" si="59"/>
        <v>2126.7342570010378</v>
      </c>
      <c r="BO153" s="25">
        <f t="shared" si="67"/>
        <v>9896.0271877056584</v>
      </c>
      <c r="BP153" s="20">
        <f t="shared" si="39"/>
        <v>650</v>
      </c>
      <c r="BQ153" s="20">
        <f t="shared" si="39"/>
        <v>61671.362718112112</v>
      </c>
      <c r="BR153" s="25">
        <f>VLOOKUP(BP153,'Hazard Weighting Functions'!$B$5:$G$1205,4,FALSE)</f>
        <v>1</v>
      </c>
      <c r="BS153" s="25">
        <f t="shared" si="60"/>
        <v>61671.362718112112</v>
      </c>
      <c r="BT153" s="25">
        <f t="shared" si="61"/>
        <v>292578.7738139627</v>
      </c>
      <c r="BV153" s="25">
        <f>VLOOKUP(BK153,'Hazard Weighting Functions'!$B$5:$G$1205,5,FALSE)</f>
        <v>3.0000000000000001E-5</v>
      </c>
      <c r="BW153" s="25">
        <f t="shared" si="62"/>
        <v>8.812434766578886E-2</v>
      </c>
      <c r="BX153" s="25">
        <f t="shared" si="63"/>
        <v>0.35742790413382952</v>
      </c>
    </row>
    <row r="154" spans="2:76">
      <c r="B154" s="25">
        <v>525</v>
      </c>
      <c r="C154" s="36">
        <v>101.88684635920542</v>
      </c>
      <c r="E154" s="25">
        <v>525</v>
      </c>
      <c r="F154" s="36"/>
      <c r="H154" s="25">
        <v>525</v>
      </c>
      <c r="I154" s="36"/>
      <c r="K154" s="25">
        <v>1625</v>
      </c>
      <c r="L154" s="36"/>
      <c r="N154" s="25">
        <v>775</v>
      </c>
      <c r="O154" s="36">
        <v>2587.1138673463643</v>
      </c>
      <c r="Q154" s="20">
        <v>655</v>
      </c>
      <c r="R154" s="36">
        <v>55360.146807472956</v>
      </c>
      <c r="V154" s="25">
        <f t="shared" si="41"/>
        <v>525</v>
      </c>
      <c r="W154" s="25">
        <f t="shared" si="41"/>
        <v>101.88684635920542</v>
      </c>
      <c r="Y154" s="25">
        <f t="shared" si="42"/>
        <v>525</v>
      </c>
      <c r="Z154" s="25">
        <f t="shared" si="42"/>
        <v>101.88684635920542</v>
      </c>
      <c r="AA154" s="25">
        <f>VLOOKUP(Y154,'Hazard Weighting Functions'!$B$5:$G$1205,2,FALSE)</f>
        <v>0</v>
      </c>
      <c r="AB154" s="25">
        <f t="shared" si="43"/>
        <v>0</v>
      </c>
      <c r="AC154" s="25">
        <f t="shared" si="44"/>
        <v>0</v>
      </c>
      <c r="AE154" s="25">
        <f>VLOOKUP(Y154,'Hazard Weighting Functions'!$B$5:$G$1205,3,FALSE)</f>
        <v>3.2000000000000001E-2</v>
      </c>
      <c r="AF154" s="25">
        <f t="shared" si="45"/>
        <v>3.2603790834945734</v>
      </c>
      <c r="AG154" s="25">
        <f t="shared" si="46"/>
        <v>14.945418253359197</v>
      </c>
      <c r="AH154" s="25">
        <f>VLOOKUP(Y154,'Hazard Weighting Functions'!$B$5:$G$1205,5,FALSE)</f>
        <v>0.79320000000000002</v>
      </c>
      <c r="AI154" s="25">
        <f t="shared" si="47"/>
        <v>80.816646532121737</v>
      </c>
      <c r="AJ154" s="25">
        <f t="shared" si="48"/>
        <v>436.31496070889727</v>
      </c>
      <c r="AM154" s="25">
        <f t="shared" si="65"/>
        <v>526.49593768292402</v>
      </c>
      <c r="AZ154" s="20">
        <f t="shared" si="68"/>
        <v>655</v>
      </c>
      <c r="BA154" s="20">
        <f t="shared" si="68"/>
        <v>55360.146807472956</v>
      </c>
      <c r="BB154" s="25">
        <f>VLOOKUP(AZ154,'Hazard Weighting Functions'!$B$5:$G$1205,3,FALSE)</f>
        <v>1E-3</v>
      </c>
      <c r="BC154" s="25">
        <f t="shared" si="54"/>
        <v>55.360146807472958</v>
      </c>
      <c r="BD154" s="25">
        <f t="shared" si="55"/>
        <v>262.02586636646942</v>
      </c>
      <c r="BF154" s="20">
        <f t="shared" si="69"/>
        <v>975</v>
      </c>
      <c r="BG154" s="20">
        <f t="shared" si="69"/>
        <v>0</v>
      </c>
      <c r="BH154" s="25">
        <f>VLOOKUP(BF154,'Hazard Weighting Functions'!$B$5:$G$1205,4,FALSE)</f>
        <v>0.28199999999999997</v>
      </c>
      <c r="BI154" s="25">
        <f t="shared" si="57"/>
        <v>0</v>
      </c>
      <c r="BJ154" s="25">
        <f t="shared" si="58"/>
        <v>0</v>
      </c>
      <c r="BK154" s="1">
        <f t="shared" si="38"/>
        <v>775</v>
      </c>
      <c r="BL154" s="20">
        <f t="shared" si="38"/>
        <v>2587.1138673463643</v>
      </c>
      <c r="BM154" s="25">
        <f>VLOOKUP(BK154,'Hazard Weighting Functions'!$B$5:$G$1205,4,FALSE)</f>
        <v>0.70799999999999996</v>
      </c>
      <c r="BN154" s="25">
        <f t="shared" si="59"/>
        <v>1831.6766180812258</v>
      </c>
      <c r="BO154" s="25">
        <f t="shared" si="67"/>
        <v>8518.7074545929281</v>
      </c>
      <c r="BP154" s="20">
        <f t="shared" si="39"/>
        <v>655</v>
      </c>
      <c r="BQ154" s="20">
        <f t="shared" si="39"/>
        <v>55360.146807472956</v>
      </c>
      <c r="BR154" s="25">
        <f>VLOOKUP(BP154,'Hazard Weighting Functions'!$B$5:$G$1205,4,FALSE)</f>
        <v>1</v>
      </c>
      <c r="BS154" s="25">
        <f t="shared" si="60"/>
        <v>55360.146807472956</v>
      </c>
      <c r="BT154" s="25">
        <f t="shared" si="61"/>
        <v>262025.86636646942</v>
      </c>
      <c r="BV154" s="25">
        <f>VLOOKUP(BK154,'Hazard Weighting Functions'!$B$5:$G$1205,5,FALSE)</f>
        <v>2.12E-5</v>
      </c>
      <c r="BW154" s="25">
        <f t="shared" si="62"/>
        <v>5.4846813987742923E-2</v>
      </c>
      <c r="BX154" s="25">
        <f t="shared" si="63"/>
        <v>0.22245423653258573</v>
      </c>
    </row>
    <row r="155" spans="2:76">
      <c r="B155" s="25">
        <v>530</v>
      </c>
      <c r="C155" s="36">
        <v>108.71152871396421</v>
      </c>
      <c r="E155" s="25">
        <v>530</v>
      </c>
      <c r="F155" s="36"/>
      <c r="H155" s="25">
        <v>530</v>
      </c>
      <c r="I155" s="36"/>
      <c r="K155" s="25">
        <v>1630</v>
      </c>
      <c r="L155" s="36"/>
      <c r="N155" s="25">
        <v>780</v>
      </c>
      <c r="O155" s="36">
        <v>2277.1768262369155</v>
      </c>
      <c r="Q155" s="20">
        <v>660</v>
      </c>
      <c r="R155" s="36">
        <v>49450.199739114811</v>
      </c>
      <c r="V155" s="25">
        <f t="shared" si="41"/>
        <v>530</v>
      </c>
      <c r="W155" s="25">
        <f t="shared" si="41"/>
        <v>108.71152871396421</v>
      </c>
      <c r="Y155" s="25">
        <f t="shared" si="42"/>
        <v>530</v>
      </c>
      <c r="Z155" s="25">
        <f t="shared" si="42"/>
        <v>108.71152871396421</v>
      </c>
      <c r="AA155" s="25">
        <f>VLOOKUP(Y155,'Hazard Weighting Functions'!$B$5:$G$1205,2,FALSE)</f>
        <v>0</v>
      </c>
      <c r="AB155" s="25">
        <f t="shared" si="43"/>
        <v>0</v>
      </c>
      <c r="AC155" s="25">
        <f t="shared" si="44"/>
        <v>0</v>
      </c>
      <c r="AE155" s="25">
        <f>VLOOKUP(Y155,'Hazard Weighting Functions'!$B$5:$G$1205,3,FALSE)</f>
        <v>2.5000000000000001E-2</v>
      </c>
      <c r="AF155" s="25">
        <f t="shared" si="45"/>
        <v>2.7177882178491055</v>
      </c>
      <c r="AG155" s="25">
        <f t="shared" si="46"/>
        <v>12.467862167428883</v>
      </c>
      <c r="AH155" s="25">
        <f>VLOOKUP(Y155,'Hazard Weighting Functions'!$B$5:$G$1205,5,FALSE)</f>
        <v>0.86199999999999999</v>
      </c>
      <c r="AI155" s="25">
        <f t="shared" si="47"/>
        <v>93.709337751437147</v>
      </c>
      <c r="AJ155" s="25">
        <f t="shared" si="48"/>
        <v>493.78846068480186</v>
      </c>
      <c r="AM155" s="25">
        <f t="shared" si="65"/>
        <v>555.44840292521656</v>
      </c>
      <c r="AZ155" s="20">
        <f t="shared" si="68"/>
        <v>660</v>
      </c>
      <c r="BA155" s="20">
        <f t="shared" si="68"/>
        <v>49450.199739114811</v>
      </c>
      <c r="BB155" s="25">
        <f>VLOOKUP(AZ155,'Hazard Weighting Functions'!$B$5:$G$1205,3,FALSE)</f>
        <v>1E-3</v>
      </c>
      <c r="BC155" s="25">
        <f t="shared" si="54"/>
        <v>49.450199739114815</v>
      </c>
      <c r="BD155" s="25">
        <f t="shared" si="55"/>
        <v>234.02842290332202</v>
      </c>
      <c r="BF155" s="20">
        <f t="shared" si="69"/>
        <v>980</v>
      </c>
      <c r="BG155" s="20">
        <f t="shared" si="69"/>
        <v>0</v>
      </c>
      <c r="BH155" s="25">
        <f>VLOOKUP(BF155,'Hazard Weighting Functions'!$B$5:$G$1205,4,FALSE)</f>
        <v>0.27500000000000002</v>
      </c>
      <c r="BI155" s="25">
        <f t="shared" si="57"/>
        <v>0</v>
      </c>
      <c r="BJ155" s="25">
        <f t="shared" si="58"/>
        <v>0</v>
      </c>
      <c r="BK155" s="1">
        <f t="shared" si="38"/>
        <v>780</v>
      </c>
      <c r="BL155" s="20">
        <f t="shared" si="38"/>
        <v>2277.1768262369155</v>
      </c>
      <c r="BM155" s="25">
        <f>VLOOKUP(BK155,'Hazard Weighting Functions'!$B$5:$G$1205,4,FALSE)</f>
        <v>0.69199999999999995</v>
      </c>
      <c r="BN155" s="25">
        <f t="shared" si="59"/>
        <v>1575.8063637559455</v>
      </c>
      <c r="BO155" s="25">
        <f t="shared" si="67"/>
        <v>7336.6721985800768</v>
      </c>
      <c r="BP155" s="20">
        <f t="shared" si="39"/>
        <v>660</v>
      </c>
      <c r="BQ155" s="20">
        <f t="shared" si="39"/>
        <v>49450.199739114811</v>
      </c>
      <c r="BR155" s="25">
        <f>VLOOKUP(BP155,'Hazard Weighting Functions'!$B$5:$G$1205,4,FALSE)</f>
        <v>1</v>
      </c>
      <c r="BS155" s="25">
        <f t="shared" si="60"/>
        <v>49450.199739114811</v>
      </c>
      <c r="BT155" s="25">
        <f t="shared" si="61"/>
        <v>234028.42290332197</v>
      </c>
      <c r="BV155" s="25">
        <f>VLOOKUP(BK155,'Hazard Weighting Functions'!$B$5:$G$1205,5,FALSE)</f>
        <v>1.499E-5</v>
      </c>
      <c r="BW155" s="25">
        <f t="shared" si="62"/>
        <v>3.4134880625291367E-2</v>
      </c>
    </row>
    <row r="156" spans="2:76">
      <c r="B156" s="25">
        <v>535</v>
      </c>
      <c r="C156" s="36">
        <v>113.46783245612239</v>
      </c>
      <c r="E156" s="25">
        <v>535</v>
      </c>
      <c r="F156" s="36"/>
      <c r="H156" s="25">
        <v>535</v>
      </c>
      <c r="I156" s="36"/>
      <c r="K156" s="25">
        <v>1635</v>
      </c>
      <c r="L156" s="36"/>
      <c r="N156" s="25">
        <v>785</v>
      </c>
      <c r="O156" s="36">
        <v>2010.1516504084095</v>
      </c>
      <c r="Q156" s="20">
        <v>665</v>
      </c>
      <c r="R156" s="36">
        <v>44161.169422213985</v>
      </c>
      <c r="V156" s="25">
        <f t="shared" si="41"/>
        <v>535</v>
      </c>
      <c r="W156" s="25">
        <f t="shared" si="41"/>
        <v>113.46783245612239</v>
      </c>
      <c r="Y156" s="25">
        <f t="shared" si="42"/>
        <v>535</v>
      </c>
      <c r="Z156" s="25">
        <f t="shared" si="42"/>
        <v>113.46783245612239</v>
      </c>
      <c r="AA156" s="25">
        <f>VLOOKUP(Y156,'Hazard Weighting Functions'!$B$5:$G$1205,2,FALSE)</f>
        <v>0</v>
      </c>
      <c r="AB156" s="25">
        <f t="shared" si="43"/>
        <v>0</v>
      </c>
      <c r="AC156" s="25">
        <f t="shared" si="44"/>
        <v>0</v>
      </c>
      <c r="AE156" s="25">
        <f>VLOOKUP(Y156,'Hazard Weighting Functions'!$B$5:$G$1205,3,FALSE)</f>
        <v>0.02</v>
      </c>
      <c r="AF156" s="25">
        <f t="shared" si="45"/>
        <v>2.2693566491224479</v>
      </c>
      <c r="AG156" s="25">
        <f t="shared" si="46"/>
        <v>10.339602952167102</v>
      </c>
      <c r="AH156" s="25">
        <f>VLOOKUP(Y156,'Hazard Weighting Functions'!$B$5:$G$1205,5,FALSE)</f>
        <v>0.91485000000000005</v>
      </c>
      <c r="AI156" s="25">
        <f t="shared" si="47"/>
        <v>103.80604652248358</v>
      </c>
      <c r="AJ156" s="25">
        <f t="shared" si="48"/>
        <v>537.73796681935755</v>
      </c>
      <c r="AM156" s="25">
        <f t="shared" si="65"/>
        <v>575.30778922536729</v>
      </c>
      <c r="AZ156" s="20">
        <f t="shared" si="68"/>
        <v>665</v>
      </c>
      <c r="BA156" s="20">
        <f t="shared" si="68"/>
        <v>44161.169422213985</v>
      </c>
      <c r="BB156" s="25">
        <f>VLOOKUP(AZ156,'Hazard Weighting Functions'!$B$5:$G$1205,3,FALSE)</f>
        <v>1E-3</v>
      </c>
      <c r="BC156" s="25">
        <f t="shared" si="54"/>
        <v>44.161169422213987</v>
      </c>
      <c r="BD156" s="25">
        <f t="shared" si="55"/>
        <v>209.00410802957654</v>
      </c>
      <c r="BF156" s="20">
        <f t="shared" si="69"/>
        <v>985</v>
      </c>
      <c r="BG156" s="20">
        <f t="shared" si="69"/>
        <v>0</v>
      </c>
      <c r="BH156" s="25">
        <f>VLOOKUP(BF156,'Hazard Weighting Functions'!$B$5:$G$1205,4,FALSE)</f>
        <v>0.26900000000000002</v>
      </c>
      <c r="BI156" s="25">
        <f t="shared" si="57"/>
        <v>0</v>
      </c>
      <c r="BJ156" s="25">
        <f t="shared" si="58"/>
        <v>0</v>
      </c>
      <c r="BK156" s="1">
        <f t="shared" ref="BK156:BL219" si="70">N156</f>
        <v>785</v>
      </c>
      <c r="BL156" s="20">
        <f t="shared" si="70"/>
        <v>2010.1516504084095</v>
      </c>
      <c r="BM156" s="25">
        <f>VLOOKUP(BK156,'Hazard Weighting Functions'!$B$5:$G$1205,4,FALSE)</f>
        <v>0.67600000000000005</v>
      </c>
      <c r="BN156" s="25">
        <f t="shared" si="59"/>
        <v>1358.862515676085</v>
      </c>
      <c r="BO156" s="25">
        <f t="shared" si="67"/>
        <v>6322.8272529443848</v>
      </c>
      <c r="BP156" s="20">
        <f t="shared" ref="BP156:BQ219" si="71">Q156</f>
        <v>665</v>
      </c>
      <c r="BQ156" s="20">
        <f t="shared" si="71"/>
        <v>44161.169422213985</v>
      </c>
      <c r="BR156" s="25">
        <f>VLOOKUP(BP156,'Hazard Weighting Functions'!$B$5:$G$1205,4,FALSE)</f>
        <v>1</v>
      </c>
      <c r="BS156" s="25">
        <f t="shared" si="60"/>
        <v>44161.169422213985</v>
      </c>
      <c r="BT156" s="25">
        <f t="shared" si="61"/>
        <v>209004.10802957654</v>
      </c>
    </row>
    <row r="157" spans="2:76">
      <c r="B157" s="25">
        <v>540</v>
      </c>
      <c r="C157" s="36">
        <v>116.65528323402454</v>
      </c>
      <c r="E157" s="25">
        <v>540</v>
      </c>
      <c r="F157" s="36"/>
      <c r="H157" s="25">
        <v>540</v>
      </c>
      <c r="I157" s="36"/>
      <c r="K157" s="25">
        <v>1640</v>
      </c>
      <c r="L157" s="36"/>
      <c r="N157" s="25">
        <v>790</v>
      </c>
      <c r="O157" s="36">
        <v>1770.4514152824038</v>
      </c>
      <c r="Q157" s="20">
        <v>670</v>
      </c>
      <c r="R157" s="36">
        <v>39440.473789616633</v>
      </c>
      <c r="V157" s="25">
        <f t="shared" si="41"/>
        <v>540</v>
      </c>
      <c r="W157" s="25">
        <f t="shared" si="41"/>
        <v>116.65528323402454</v>
      </c>
      <c r="Y157" s="25">
        <f t="shared" si="42"/>
        <v>540</v>
      </c>
      <c r="Z157" s="25">
        <f t="shared" si="42"/>
        <v>116.65528323402454</v>
      </c>
      <c r="AA157" s="25">
        <f>VLOOKUP(Y157,'Hazard Weighting Functions'!$B$5:$G$1205,2,FALSE)</f>
        <v>0</v>
      </c>
      <c r="AB157" s="25">
        <f t="shared" si="43"/>
        <v>0</v>
      </c>
      <c r="AC157" s="25">
        <f t="shared" si="44"/>
        <v>0</v>
      </c>
      <c r="AE157" s="25">
        <f>VLOOKUP(Y157,'Hazard Weighting Functions'!$B$5:$G$1205,3,FALSE)</f>
        <v>1.6E-2</v>
      </c>
      <c r="AF157" s="25">
        <f t="shared" si="45"/>
        <v>1.8664845317443925</v>
      </c>
      <c r="AG157" s="25">
        <f t="shared" si="46"/>
        <v>8.5141827756031851</v>
      </c>
      <c r="AH157" s="25">
        <f>VLOOKUP(Y157,'Hazard Weighting Functions'!$B$5:$G$1205,5,FALSE)</f>
        <v>0.95399999999999996</v>
      </c>
      <c r="AI157" s="25">
        <f t="shared" si="47"/>
        <v>111.2891402052594</v>
      </c>
      <c r="AJ157" s="25">
        <f t="shared" si="48"/>
        <v>568.38949734016637</v>
      </c>
      <c r="AM157" s="25">
        <f t="shared" si="65"/>
        <v>587.63601164215402</v>
      </c>
      <c r="AZ157" s="20">
        <f t="shared" si="68"/>
        <v>670</v>
      </c>
      <c r="BA157" s="20">
        <f t="shared" si="68"/>
        <v>39440.473789616633</v>
      </c>
      <c r="BB157" s="25">
        <f>VLOOKUP(AZ157,'Hazard Weighting Functions'!$B$5:$G$1205,3,FALSE)</f>
        <v>1E-3</v>
      </c>
      <c r="BC157" s="25">
        <f t="shared" si="54"/>
        <v>39.440473789616632</v>
      </c>
      <c r="BD157" s="25">
        <f t="shared" si="55"/>
        <v>186.16743888428834</v>
      </c>
      <c r="BF157" s="20">
        <f t="shared" si="69"/>
        <v>990</v>
      </c>
      <c r="BG157" s="20">
        <f t="shared" si="69"/>
        <v>0</v>
      </c>
      <c r="BH157" s="25">
        <f>VLOOKUP(BF157,'Hazard Weighting Functions'!$B$5:$G$1205,4,FALSE)</f>
        <v>0.26300000000000001</v>
      </c>
      <c r="BI157" s="25">
        <f t="shared" si="57"/>
        <v>0</v>
      </c>
      <c r="BJ157" s="25">
        <f t="shared" si="58"/>
        <v>0</v>
      </c>
      <c r="BK157" s="1">
        <f t="shared" si="70"/>
        <v>790</v>
      </c>
      <c r="BL157" s="20">
        <f t="shared" si="70"/>
        <v>1770.4514152824038</v>
      </c>
      <c r="BM157" s="25">
        <f>VLOOKUP(BK157,'Hazard Weighting Functions'!$B$5:$G$1205,4,FALSE)</f>
        <v>0.66100000000000003</v>
      </c>
      <c r="BN157" s="25">
        <f t="shared" si="59"/>
        <v>1170.2683855016689</v>
      </c>
      <c r="BO157" s="25">
        <f t="shared" si="67"/>
        <v>5437.4479978821264</v>
      </c>
      <c r="BP157" s="20">
        <f t="shared" si="71"/>
        <v>670</v>
      </c>
      <c r="BQ157" s="20">
        <f t="shared" si="71"/>
        <v>39440.473789616633</v>
      </c>
      <c r="BR157" s="25">
        <f>VLOOKUP(BP157,'Hazard Weighting Functions'!$B$5:$G$1205,4,FALSE)</f>
        <v>1</v>
      </c>
      <c r="BS157" s="25">
        <f t="shared" si="60"/>
        <v>39440.473789616633</v>
      </c>
      <c r="BT157" s="25">
        <f t="shared" si="61"/>
        <v>186167.43888428836</v>
      </c>
    </row>
    <row r="158" spans="2:76">
      <c r="B158" s="25">
        <v>545</v>
      </c>
      <c r="C158" s="36">
        <v>118.39912142283706</v>
      </c>
      <c r="E158" s="25">
        <v>545</v>
      </c>
      <c r="F158" s="36"/>
      <c r="H158" s="25">
        <v>545</v>
      </c>
      <c r="I158" s="36"/>
      <c r="K158" s="25">
        <v>1645</v>
      </c>
      <c r="L158" s="36"/>
      <c r="N158" s="25">
        <v>795</v>
      </c>
      <c r="O158" s="36">
        <v>1555.2798972928508</v>
      </c>
      <c r="Q158" s="20">
        <v>675</v>
      </c>
      <c r="R158" s="36">
        <v>35026.501764098706</v>
      </c>
      <c r="V158" s="25">
        <f t="shared" ref="V158:W221" si="72">B158</f>
        <v>545</v>
      </c>
      <c r="W158" s="25">
        <f t="shared" si="72"/>
        <v>118.39912142283706</v>
      </c>
      <c r="Y158" s="25">
        <f t="shared" ref="Y158:Z221" si="73">V158</f>
        <v>545</v>
      </c>
      <c r="Z158" s="25">
        <f t="shared" si="73"/>
        <v>118.39912142283706</v>
      </c>
      <c r="AA158" s="25">
        <f>VLOOKUP(Y158,'Hazard Weighting Functions'!$B$5:$G$1205,2,FALSE)</f>
        <v>0</v>
      </c>
      <c r="AB158" s="25">
        <f t="shared" ref="AB158:AB221" si="74">Z158*AA158</f>
        <v>0</v>
      </c>
      <c r="AC158" s="25">
        <f t="shared" ref="AC158:AC221" si="75">0.5*(Y159-Y158)*(AB158+AB159)</f>
        <v>0</v>
      </c>
      <c r="AE158" s="25">
        <f>VLOOKUP(Y158,'Hazard Weighting Functions'!$B$5:$G$1205,3,FALSE)</f>
        <v>1.2999999999999999E-2</v>
      </c>
      <c r="AF158" s="25">
        <f t="shared" ref="AF158:AF221" si="76">AE158*Z158</f>
        <v>1.5391885784968817</v>
      </c>
      <c r="AG158" s="25">
        <f t="shared" ref="AG158:AG221" si="77">0.5*(Y159-Y158)*(AF158+AF159)</f>
        <v>6.8309602196862933</v>
      </c>
      <c r="AH158" s="25">
        <f>VLOOKUP(Y158,'Hazard Weighting Functions'!$B$5:$G$1205,5,FALSE)</f>
        <v>0.98029999999999995</v>
      </c>
      <c r="AI158" s="25">
        <f t="shared" ref="AI158:AI221" si="78">AH158*Z158</f>
        <v>116.06665873080716</v>
      </c>
      <c r="AJ158" s="25">
        <f t="shared" ref="AJ158:AJ221" si="79">0.5*(Y159-Y158)*(AI158+AI159)</f>
        <v>586.95911484083751</v>
      </c>
      <c r="AM158" s="25">
        <f t="shared" si="65"/>
        <v>594.29668090150153</v>
      </c>
      <c r="AZ158" s="20">
        <f t="shared" si="68"/>
        <v>675</v>
      </c>
      <c r="BA158" s="20">
        <f t="shared" si="68"/>
        <v>35026.501764098706</v>
      </c>
      <c r="BB158" s="25">
        <f>VLOOKUP(AZ158,'Hazard Weighting Functions'!$B$5:$G$1205,3,FALSE)</f>
        <v>1E-3</v>
      </c>
      <c r="BC158" s="25">
        <f t="shared" ref="BC158:BC163" si="80">BA158*BB158</f>
        <v>35.026501764098704</v>
      </c>
      <c r="BD158" s="25">
        <f t="shared" ref="BD158:BD162" si="81">0.5*(AZ159-AZ158)*(BC158+BC159)</f>
        <v>165.24149035098517</v>
      </c>
      <c r="BF158" s="20">
        <f t="shared" ref="BF158:BG173" si="82">H248</f>
        <v>995</v>
      </c>
      <c r="BG158" s="20">
        <f t="shared" si="82"/>
        <v>0</v>
      </c>
      <c r="BH158" s="25">
        <f>VLOOKUP(BF158,'Hazard Weighting Functions'!$B$5:$G$1205,4,FALSE)</f>
        <v>0.25700000000000001</v>
      </c>
      <c r="BI158" s="25">
        <f t="shared" ref="BI158:BI179" si="83">BG158*BH158</f>
        <v>0</v>
      </c>
      <c r="BJ158" s="25">
        <f t="shared" ref="BJ158:BJ178" si="84">0.5*(BF159-BF158)*(BI158+BI159)</f>
        <v>0</v>
      </c>
      <c r="BK158" s="1">
        <f t="shared" si="70"/>
        <v>795</v>
      </c>
      <c r="BL158" s="20">
        <f t="shared" si="70"/>
        <v>1555.2798972928508</v>
      </c>
      <c r="BM158" s="25">
        <f>VLOOKUP(BK158,'Hazard Weighting Functions'!$B$5:$G$1205,4,FALSE)</f>
        <v>0.64600000000000002</v>
      </c>
      <c r="BN158" s="25">
        <f t="shared" ref="BN158:BN221" si="85">BM158*BL158</f>
        <v>1004.7108136511816</v>
      </c>
      <c r="BO158" s="25">
        <f t="shared" si="67"/>
        <v>4684.8663081534196</v>
      </c>
      <c r="BP158" s="20">
        <f t="shared" si="71"/>
        <v>675</v>
      </c>
      <c r="BQ158" s="20">
        <f t="shared" si="71"/>
        <v>35026.501764098706</v>
      </c>
      <c r="BR158" s="25">
        <f>VLOOKUP(BP158,'Hazard Weighting Functions'!$B$5:$G$1205,4,FALSE)</f>
        <v>1</v>
      </c>
      <c r="BS158" s="25">
        <f t="shared" ref="BS158:BS221" si="86">BR158*BQ158</f>
        <v>35026.501764098706</v>
      </c>
      <c r="BT158" s="25">
        <f t="shared" ref="BT158:BT221" si="87">0.5*(BP159-BP158)*(BS158+BS159)</f>
        <v>165241.4903509852</v>
      </c>
    </row>
    <row r="159" spans="2:76">
      <c r="B159" s="25">
        <v>550</v>
      </c>
      <c r="C159" s="36">
        <v>119.31955093776357</v>
      </c>
      <c r="E159" s="25">
        <v>550</v>
      </c>
      <c r="F159" s="36"/>
      <c r="H159" s="25">
        <v>550</v>
      </c>
      <c r="I159" s="36"/>
      <c r="K159" s="25">
        <v>1650</v>
      </c>
      <c r="L159" s="36"/>
      <c r="N159" s="25">
        <v>800</v>
      </c>
      <c r="O159" s="36">
        <v>1377.5526301270784</v>
      </c>
      <c r="Q159" s="20">
        <v>680</v>
      </c>
      <c r="R159" s="36">
        <v>31070.094376295368</v>
      </c>
      <c r="V159" s="25">
        <f t="shared" si="72"/>
        <v>550</v>
      </c>
      <c r="W159" s="25">
        <f t="shared" si="72"/>
        <v>119.31955093776357</v>
      </c>
      <c r="Y159" s="25">
        <f t="shared" si="73"/>
        <v>550</v>
      </c>
      <c r="Z159" s="25">
        <f t="shared" si="73"/>
        <v>119.31955093776357</v>
      </c>
      <c r="AA159" s="25">
        <f>VLOOKUP(Y159,'Hazard Weighting Functions'!$B$5:$G$1205,2,FALSE)</f>
        <v>0</v>
      </c>
      <c r="AB159" s="25">
        <f t="shared" si="74"/>
        <v>0</v>
      </c>
      <c r="AC159" s="25">
        <f t="shared" si="75"/>
        <v>0</v>
      </c>
      <c r="AE159" s="25">
        <f>VLOOKUP(Y159,'Hazard Weighting Functions'!$B$5:$G$1205,3,FALSE)</f>
        <v>0.01</v>
      </c>
      <c r="AF159" s="25">
        <f t="shared" si="76"/>
        <v>1.1931955093776356</v>
      </c>
      <c r="AG159" s="25">
        <f t="shared" si="77"/>
        <v>5.37678283265139</v>
      </c>
      <c r="AH159" s="25">
        <f>VLOOKUP(Y159,'Hazard Weighting Functions'!$B$5:$G$1205,5,FALSE)</f>
        <v>0.99495</v>
      </c>
      <c r="AI159" s="25">
        <f t="shared" si="78"/>
        <v>118.71698720552786</v>
      </c>
      <c r="AJ159" s="25">
        <f t="shared" si="79"/>
        <v>596.01672541473226</v>
      </c>
      <c r="AM159" s="25">
        <f t="shared" si="65"/>
        <v>597.52313474532139</v>
      </c>
      <c r="AZ159" s="20">
        <f t="shared" si="68"/>
        <v>680</v>
      </c>
      <c r="BA159" s="20">
        <f t="shared" si="68"/>
        <v>31070.094376295368</v>
      </c>
      <c r="BB159" s="25">
        <f>VLOOKUP(AZ159,'Hazard Weighting Functions'!$B$5:$G$1205,3,FALSE)</f>
        <v>1E-3</v>
      </c>
      <c r="BC159" s="25">
        <f t="shared" si="80"/>
        <v>31.070094376295369</v>
      </c>
      <c r="BD159" s="25">
        <f t="shared" si="81"/>
        <v>146.36820094098391</v>
      </c>
      <c r="BF159" s="20">
        <f t="shared" si="82"/>
        <v>1000</v>
      </c>
      <c r="BG159" s="20">
        <f t="shared" si="82"/>
        <v>0</v>
      </c>
      <c r="BH159" s="25">
        <f>VLOOKUP(BF159,'Hazard Weighting Functions'!$B$5:$G$1205,4,FALSE)</f>
        <v>0.251</v>
      </c>
      <c r="BI159" s="25">
        <f t="shared" si="83"/>
        <v>0</v>
      </c>
      <c r="BJ159" s="25">
        <f t="shared" si="84"/>
        <v>0</v>
      </c>
      <c r="BK159" s="1">
        <f t="shared" si="70"/>
        <v>800</v>
      </c>
      <c r="BL159" s="20">
        <f t="shared" si="70"/>
        <v>1377.5526301270784</v>
      </c>
      <c r="BM159" s="25">
        <f>VLOOKUP(BK159,'Hazard Weighting Functions'!$B$5:$G$1205,4,FALSE)</f>
        <v>0.63100000000000001</v>
      </c>
      <c r="BN159" s="25">
        <f t="shared" si="85"/>
        <v>869.2357096101864</v>
      </c>
      <c r="BO159" s="25">
        <f t="shared" si="67"/>
        <v>4048.5857294244088</v>
      </c>
      <c r="BP159" s="20">
        <f t="shared" si="71"/>
        <v>680</v>
      </c>
      <c r="BQ159" s="20">
        <f t="shared" si="71"/>
        <v>31070.094376295368</v>
      </c>
      <c r="BR159" s="25">
        <f>VLOOKUP(BP159,'Hazard Weighting Functions'!$B$5:$G$1205,4,FALSE)</f>
        <v>1</v>
      </c>
      <c r="BS159" s="25">
        <f t="shared" si="86"/>
        <v>31070.094376295368</v>
      </c>
      <c r="BT159" s="25">
        <f t="shared" si="87"/>
        <v>146368.20094098392</v>
      </c>
    </row>
    <row r="160" spans="2:76">
      <c r="B160" s="25">
        <v>555</v>
      </c>
      <c r="C160" s="36">
        <v>119.68970296036501</v>
      </c>
      <c r="E160" s="25">
        <v>555</v>
      </c>
      <c r="F160" s="36"/>
      <c r="H160" s="25">
        <v>555</v>
      </c>
      <c r="I160" s="36"/>
      <c r="K160" s="25">
        <v>1655</v>
      </c>
      <c r="L160" s="36"/>
      <c r="N160" s="25">
        <v>805</v>
      </c>
      <c r="O160" s="36">
        <v>1215.8810083623616</v>
      </c>
      <c r="Q160" s="20">
        <v>685</v>
      </c>
      <c r="R160" s="36">
        <v>27477.186000098198</v>
      </c>
      <c r="V160" s="25">
        <f t="shared" si="72"/>
        <v>555</v>
      </c>
      <c r="W160" s="25">
        <f t="shared" si="72"/>
        <v>119.68970296036501</v>
      </c>
      <c r="Y160" s="25">
        <f t="shared" si="73"/>
        <v>555</v>
      </c>
      <c r="Z160" s="25">
        <f t="shared" si="73"/>
        <v>119.68970296036501</v>
      </c>
      <c r="AA160" s="25">
        <f>VLOOKUP(Y160,'Hazard Weighting Functions'!$B$5:$G$1205,2,FALSE)</f>
        <v>0</v>
      </c>
      <c r="AB160" s="25">
        <f t="shared" si="74"/>
        <v>0</v>
      </c>
      <c r="AC160" s="25">
        <f t="shared" si="75"/>
        <v>0</v>
      </c>
      <c r="AE160" s="25">
        <f>VLOOKUP(Y160,'Hazard Weighting Functions'!$B$5:$G$1205,3,FALSE)</f>
        <v>8.0000000000000002E-3</v>
      </c>
      <c r="AF160" s="25">
        <f t="shared" si="76"/>
        <v>0.95751762368292015</v>
      </c>
      <c r="AG160" s="25">
        <f t="shared" si="77"/>
        <v>4.1789727277348652</v>
      </c>
      <c r="AH160" s="25">
        <f>VLOOKUP(Y160,'Hazard Weighting Functions'!$B$5:$G$1205,5,FALSE)</f>
        <v>1</v>
      </c>
      <c r="AI160" s="25">
        <f t="shared" si="78"/>
        <v>119.68970296036501</v>
      </c>
      <c r="AJ160" s="25">
        <f t="shared" si="79"/>
        <v>595.26638659840035</v>
      </c>
      <c r="AM160" s="25">
        <f t="shared" si="65"/>
        <v>596.75403548883992</v>
      </c>
      <c r="AZ160" s="20">
        <f t="shared" si="68"/>
        <v>685</v>
      </c>
      <c r="BA160" s="20">
        <f t="shared" si="68"/>
        <v>27477.186000098198</v>
      </c>
      <c r="BB160" s="25">
        <f>VLOOKUP(AZ160,'Hazard Weighting Functions'!$B$5:$G$1205,3,FALSE)</f>
        <v>1E-3</v>
      </c>
      <c r="BC160" s="25">
        <f t="shared" si="80"/>
        <v>27.477186000098197</v>
      </c>
      <c r="BD160" s="25">
        <f t="shared" si="81"/>
        <v>129.89067083161541</v>
      </c>
      <c r="BF160" s="20">
        <f t="shared" si="82"/>
        <v>1005</v>
      </c>
      <c r="BG160" s="20">
        <f t="shared" si="82"/>
        <v>0</v>
      </c>
      <c r="BH160" s="25">
        <f>VLOOKUP(BF160,'Hazard Weighting Functions'!$B$5:$G$1205,4,FALSE)</f>
        <v>0.245</v>
      </c>
      <c r="BI160" s="25">
        <f t="shared" si="83"/>
        <v>0</v>
      </c>
      <c r="BJ160" s="25">
        <f t="shared" si="84"/>
        <v>0</v>
      </c>
      <c r="BK160" s="1">
        <f t="shared" si="70"/>
        <v>805</v>
      </c>
      <c r="BL160" s="20">
        <f t="shared" si="70"/>
        <v>1215.8810083623616</v>
      </c>
      <c r="BM160" s="25">
        <f>VLOOKUP(BK160,'Hazard Weighting Functions'!$B$5:$G$1205,4,FALSE)</f>
        <v>0.61699999999999999</v>
      </c>
      <c r="BN160" s="25">
        <f t="shared" si="85"/>
        <v>750.19858215957709</v>
      </c>
      <c r="BO160" s="25">
        <f t="shared" si="67"/>
        <v>3492.4049200020454</v>
      </c>
      <c r="BP160" s="20">
        <f t="shared" si="71"/>
        <v>685</v>
      </c>
      <c r="BQ160" s="20">
        <f t="shared" si="71"/>
        <v>27477.186000098198</v>
      </c>
      <c r="BR160" s="25">
        <f>VLOOKUP(BP160,'Hazard Weighting Functions'!$B$5:$G$1205,4,FALSE)</f>
        <v>1</v>
      </c>
      <c r="BS160" s="25">
        <f t="shared" si="86"/>
        <v>27477.186000098198</v>
      </c>
      <c r="BT160" s="25">
        <f t="shared" si="87"/>
        <v>129890.67083161541</v>
      </c>
    </row>
    <row r="161" spans="2:72">
      <c r="B161" s="25">
        <v>560</v>
      </c>
      <c r="C161" s="36">
        <v>119.01191123517096</v>
      </c>
      <c r="E161" s="25">
        <v>560</v>
      </c>
      <c r="F161" s="36"/>
      <c r="H161" s="25">
        <v>560</v>
      </c>
      <c r="I161" s="36"/>
      <c r="K161" s="25">
        <v>1660</v>
      </c>
      <c r="L161" s="36"/>
      <c r="N161" s="25">
        <v>810</v>
      </c>
      <c r="O161" s="36">
        <v>1072.576095922456</v>
      </c>
      <c r="Q161" s="20">
        <v>690</v>
      </c>
      <c r="R161" s="36">
        <v>24479.082332547965</v>
      </c>
      <c r="V161" s="25">
        <f t="shared" si="72"/>
        <v>560</v>
      </c>
      <c r="W161" s="25">
        <f t="shared" si="72"/>
        <v>119.01191123517096</v>
      </c>
      <c r="Y161" s="25">
        <f t="shared" si="73"/>
        <v>560</v>
      </c>
      <c r="Z161" s="25">
        <f t="shared" si="73"/>
        <v>119.01191123517096</v>
      </c>
      <c r="AA161" s="25">
        <f>VLOOKUP(Y161,'Hazard Weighting Functions'!$B$5:$G$1205,2,FALSE)</f>
        <v>0</v>
      </c>
      <c r="AB161" s="25">
        <f t="shared" si="74"/>
        <v>0</v>
      </c>
      <c r="AC161" s="25">
        <f t="shared" si="75"/>
        <v>0</v>
      </c>
      <c r="AE161" s="25">
        <f>VLOOKUP(Y161,'Hazard Weighting Functions'!$B$5:$G$1205,3,FALSE)</f>
        <v>6.0000000000000001E-3</v>
      </c>
      <c r="AF161" s="25">
        <f t="shared" si="76"/>
        <v>0.71407146741102578</v>
      </c>
      <c r="AG161" s="25">
        <f t="shared" si="77"/>
        <v>3.2474622302351399</v>
      </c>
      <c r="AH161" s="25">
        <f>VLOOKUP(Y161,'Hazard Weighting Functions'!$B$5:$G$1205,5,FALSE)</f>
        <v>0.995</v>
      </c>
      <c r="AI161" s="25">
        <f t="shared" si="78"/>
        <v>118.4168516789951</v>
      </c>
      <c r="AJ161" s="25">
        <f t="shared" si="79"/>
        <v>582.24026789489449</v>
      </c>
      <c r="AM161" s="25">
        <f t="shared" si="65"/>
        <v>589.98649042944248</v>
      </c>
      <c r="AZ161" s="20">
        <f t="shared" si="68"/>
        <v>690</v>
      </c>
      <c r="BA161" s="20">
        <f t="shared" si="68"/>
        <v>24479.082332547965</v>
      </c>
      <c r="BB161" s="25">
        <f>VLOOKUP(AZ161,'Hazard Weighting Functions'!$B$5:$G$1205,3,FALSE)</f>
        <v>1E-3</v>
      </c>
      <c r="BC161" s="25">
        <f t="shared" si="80"/>
        <v>24.479082332547964</v>
      </c>
      <c r="BD161" s="25">
        <f t="shared" si="81"/>
        <v>115.19861196583133</v>
      </c>
      <c r="BF161" s="20">
        <f t="shared" si="82"/>
        <v>1010</v>
      </c>
      <c r="BG161" s="20">
        <f t="shared" si="82"/>
        <v>0</v>
      </c>
      <c r="BH161" s="25">
        <f>VLOOKUP(BF161,'Hazard Weighting Functions'!$B$5:$G$1205,4,FALSE)</f>
        <v>0.24</v>
      </c>
      <c r="BI161" s="25">
        <f t="shared" si="83"/>
        <v>0</v>
      </c>
      <c r="BJ161" s="25">
        <f t="shared" si="84"/>
        <v>0</v>
      </c>
      <c r="BK161" s="1">
        <f t="shared" si="70"/>
        <v>810</v>
      </c>
      <c r="BL161" s="20">
        <f t="shared" si="70"/>
        <v>1072.576095922456</v>
      </c>
      <c r="BM161" s="25">
        <f>VLOOKUP(BK161,'Hazard Weighting Functions'!$B$5:$G$1205,4,FALSE)</f>
        <v>0.60299999999999998</v>
      </c>
      <c r="BN161" s="25">
        <f t="shared" si="85"/>
        <v>646.76338584124096</v>
      </c>
      <c r="BO161" s="25">
        <f t="shared" si="67"/>
        <v>3015.3016916668994</v>
      </c>
      <c r="BP161" s="20">
        <f t="shared" si="71"/>
        <v>690</v>
      </c>
      <c r="BQ161" s="20">
        <f t="shared" si="71"/>
        <v>24479.082332547965</v>
      </c>
      <c r="BR161" s="25">
        <f>VLOOKUP(BP161,'Hazard Weighting Functions'!$B$5:$G$1205,4,FALSE)</f>
        <v>1</v>
      </c>
      <c r="BS161" s="25">
        <f t="shared" si="86"/>
        <v>24479.082332547965</v>
      </c>
      <c r="BT161" s="25">
        <f t="shared" si="87"/>
        <v>115198.61196583134</v>
      </c>
    </row>
    <row r="162" spans="2:72">
      <c r="B162" s="25">
        <v>565</v>
      </c>
      <c r="C162" s="36">
        <v>116.98268493660605</v>
      </c>
      <c r="E162" s="25">
        <v>565</v>
      </c>
      <c r="F162" s="36"/>
      <c r="H162" s="25">
        <v>565</v>
      </c>
      <c r="I162" s="36"/>
      <c r="K162" s="25">
        <v>1665</v>
      </c>
      <c r="L162" s="36"/>
      <c r="N162" s="25">
        <v>815</v>
      </c>
      <c r="O162" s="36">
        <v>949.67281973772288</v>
      </c>
      <c r="Q162" s="20">
        <v>695</v>
      </c>
      <c r="R162" s="36">
        <v>21600.362453784568</v>
      </c>
      <c r="V162" s="25">
        <f t="shared" si="72"/>
        <v>565</v>
      </c>
      <c r="W162" s="25">
        <f t="shared" si="72"/>
        <v>116.98268493660605</v>
      </c>
      <c r="Y162" s="25">
        <f t="shared" si="73"/>
        <v>565</v>
      </c>
      <c r="Z162" s="25">
        <f t="shared" si="73"/>
        <v>116.98268493660605</v>
      </c>
      <c r="AA162" s="25">
        <f>VLOOKUP(Y162,'Hazard Weighting Functions'!$B$5:$G$1205,2,FALSE)</f>
        <v>0</v>
      </c>
      <c r="AB162" s="25">
        <f t="shared" si="74"/>
        <v>0</v>
      </c>
      <c r="AC162" s="25">
        <f t="shared" si="75"/>
        <v>0</v>
      </c>
      <c r="AE162" s="25">
        <f>VLOOKUP(Y162,'Hazard Weighting Functions'!$B$5:$G$1205,3,FALSE)</f>
        <v>5.0000000000000001E-3</v>
      </c>
      <c r="AF162" s="25">
        <f t="shared" si="76"/>
        <v>0.5849134246830302</v>
      </c>
      <c r="AG162" s="25">
        <f t="shared" si="77"/>
        <v>2.6125144607924304</v>
      </c>
      <c r="AH162" s="25">
        <f>VLOOKUP(Y162,'Hazard Weighting Functions'!$B$5:$G$1205,5,FALSE)</f>
        <v>0.97860000000000003</v>
      </c>
      <c r="AI162" s="25">
        <f t="shared" si="78"/>
        <v>114.47925547896268</v>
      </c>
      <c r="AJ162" s="25">
        <f t="shared" si="79"/>
        <v>559.95309267960226</v>
      </c>
      <c r="AM162" s="25">
        <f t="shared" si="65"/>
        <v>580.01443711272884</v>
      </c>
      <c r="AZ162" s="20">
        <f t="shared" si="68"/>
        <v>695</v>
      </c>
      <c r="BA162" s="20">
        <f t="shared" si="68"/>
        <v>21600.362453784568</v>
      </c>
      <c r="BB162" s="25">
        <f>VLOOKUP(AZ162,'Hazard Weighting Functions'!$B$5:$G$1205,3,FALSE)</f>
        <v>1E-3</v>
      </c>
      <c r="BC162" s="25">
        <f t="shared" si="80"/>
        <v>21.60036245378457</v>
      </c>
      <c r="BD162" s="25">
        <f t="shared" si="81"/>
        <v>101.45153591335877</v>
      </c>
      <c r="BF162" s="20">
        <f t="shared" si="82"/>
        <v>1015</v>
      </c>
      <c r="BG162" s="20">
        <f t="shared" si="82"/>
        <v>0</v>
      </c>
      <c r="BH162" s="25">
        <f>VLOOKUP(BF162,'Hazard Weighting Functions'!$B$5:$G$1205,4,FALSE)</f>
        <v>0.23400000000000001</v>
      </c>
      <c r="BI162" s="25">
        <f t="shared" si="83"/>
        <v>0</v>
      </c>
      <c r="BJ162" s="25">
        <f t="shared" si="84"/>
        <v>0</v>
      </c>
      <c r="BK162" s="1">
        <f t="shared" si="70"/>
        <v>815</v>
      </c>
      <c r="BL162" s="20">
        <f t="shared" si="70"/>
        <v>949.67281973772288</v>
      </c>
      <c r="BM162" s="25">
        <f>VLOOKUP(BK162,'Hazard Weighting Functions'!$B$5:$G$1205,4,FALSE)</f>
        <v>0.58899999999999997</v>
      </c>
      <c r="BN162" s="25">
        <f t="shared" si="85"/>
        <v>559.3572908255187</v>
      </c>
      <c r="BO162" s="25">
        <f t="shared" si="67"/>
        <v>2602.2089435902403</v>
      </c>
      <c r="BP162" s="20">
        <f t="shared" si="71"/>
        <v>695</v>
      </c>
      <c r="BQ162" s="20">
        <f t="shared" si="71"/>
        <v>21600.362453784568</v>
      </c>
      <c r="BR162" s="25">
        <f>VLOOKUP(BP162,'Hazard Weighting Functions'!$B$5:$G$1205,4,FALSE)</f>
        <v>1</v>
      </c>
      <c r="BS162" s="25">
        <f t="shared" si="86"/>
        <v>21600.362453784568</v>
      </c>
      <c r="BT162" s="25">
        <f t="shared" si="87"/>
        <v>101451.53591335875</v>
      </c>
    </row>
    <row r="163" spans="2:72">
      <c r="B163" s="25">
        <v>570</v>
      </c>
      <c r="C163" s="36">
        <v>115.0230899084855</v>
      </c>
      <c r="E163" s="25">
        <v>570</v>
      </c>
      <c r="F163" s="36"/>
      <c r="H163" s="25">
        <v>570</v>
      </c>
      <c r="I163" s="36"/>
      <c r="K163" s="25">
        <v>1670</v>
      </c>
      <c r="L163" s="36"/>
      <c r="N163" s="25">
        <v>820</v>
      </c>
      <c r="O163" s="36">
        <v>837.43702019230864</v>
      </c>
      <c r="Q163" s="20">
        <v>700</v>
      </c>
      <c r="R163" s="36">
        <v>18980.251911558935</v>
      </c>
      <c r="V163" s="25">
        <f t="shared" si="72"/>
        <v>570</v>
      </c>
      <c r="W163" s="25">
        <f t="shared" si="72"/>
        <v>115.0230899084855</v>
      </c>
      <c r="Y163" s="25">
        <f t="shared" si="73"/>
        <v>570</v>
      </c>
      <c r="Z163" s="25">
        <f t="shared" si="73"/>
        <v>115.0230899084855</v>
      </c>
      <c r="AA163" s="25">
        <f>VLOOKUP(Y163,'Hazard Weighting Functions'!$B$5:$G$1205,2,FALSE)</f>
        <v>0</v>
      </c>
      <c r="AB163" s="25">
        <f t="shared" si="74"/>
        <v>0</v>
      </c>
      <c r="AC163" s="25">
        <f t="shared" si="75"/>
        <v>0</v>
      </c>
      <c r="AE163" s="25">
        <f>VLOOKUP(Y163,'Hazard Weighting Functions'!$B$5:$G$1205,3,FALSE)</f>
        <v>4.0000000000000001E-3</v>
      </c>
      <c r="AF163" s="25">
        <f t="shared" si="76"/>
        <v>0.46009235963394202</v>
      </c>
      <c r="AG163" s="25">
        <f t="shared" si="77"/>
        <v>1.9838885836642752</v>
      </c>
      <c r="AH163" s="25">
        <f>VLOOKUP(Y163,'Hazard Weighting Functions'!$B$5:$G$1205,5,FALSE)</f>
        <v>0.95199999999999996</v>
      </c>
      <c r="AI163" s="25">
        <f t="shared" si="78"/>
        <v>109.5019815928782</v>
      </c>
      <c r="AJ163" s="25">
        <f t="shared" si="79"/>
        <v>528.1317021368626</v>
      </c>
      <c r="AM163" s="25">
        <f t="shared" si="65"/>
        <v>565.44361963102051</v>
      </c>
      <c r="AZ163" s="20">
        <f t="shared" si="68"/>
        <v>700</v>
      </c>
      <c r="BA163" s="20">
        <f t="shared" si="68"/>
        <v>18980.251911558935</v>
      </c>
      <c r="BB163" s="25">
        <f>VLOOKUP(AZ163,'Hazard Weighting Functions'!$B$5:$G$1205,3,FALSE)</f>
        <v>1E-3</v>
      </c>
      <c r="BC163" s="25">
        <f t="shared" si="80"/>
        <v>18.980251911558934</v>
      </c>
      <c r="BF163" s="20">
        <f t="shared" si="82"/>
        <v>1020</v>
      </c>
      <c r="BG163" s="20">
        <f t="shared" si="82"/>
        <v>0</v>
      </c>
      <c r="BH163" s="25">
        <f>VLOOKUP(BF163,'Hazard Weighting Functions'!$B$5:$G$1205,4,FALSE)</f>
        <v>0.22900000000000001</v>
      </c>
      <c r="BI163" s="25">
        <f t="shared" si="83"/>
        <v>0</v>
      </c>
      <c r="BJ163" s="25">
        <f t="shared" si="84"/>
        <v>0</v>
      </c>
      <c r="BK163" s="1">
        <f t="shared" si="70"/>
        <v>820</v>
      </c>
      <c r="BL163" s="20">
        <f t="shared" si="70"/>
        <v>837.43702019230864</v>
      </c>
      <c r="BM163" s="25">
        <f>VLOOKUP(BK163,'Hazard Weighting Functions'!$B$5:$G$1205,4,FALSE)</f>
        <v>0.57499999999999996</v>
      </c>
      <c r="BN163" s="25">
        <f t="shared" si="85"/>
        <v>481.52628661057742</v>
      </c>
      <c r="BO163" s="25">
        <f t="shared" si="67"/>
        <v>2244.7413796407618</v>
      </c>
      <c r="BP163" s="20">
        <f t="shared" si="71"/>
        <v>700</v>
      </c>
      <c r="BQ163" s="20">
        <f t="shared" si="71"/>
        <v>18980.251911558935</v>
      </c>
      <c r="BR163" s="25">
        <f>VLOOKUP(BP163,'Hazard Weighting Functions'!$B$5:$G$1205,4,FALSE)</f>
        <v>1</v>
      </c>
      <c r="BS163" s="25">
        <f t="shared" si="86"/>
        <v>18980.251911558935</v>
      </c>
      <c r="BT163" s="25">
        <f t="shared" si="87"/>
        <v>88420.765878539314</v>
      </c>
    </row>
    <row r="164" spans="2:72">
      <c r="B164" s="25">
        <v>575</v>
      </c>
      <c r="C164" s="36">
        <v>111.1543579439227</v>
      </c>
      <c r="E164" s="25">
        <v>575</v>
      </c>
      <c r="F164" s="36"/>
      <c r="H164" s="25">
        <v>575</v>
      </c>
      <c r="I164" s="36"/>
      <c r="K164" s="25">
        <v>1675</v>
      </c>
      <c r="L164" s="36"/>
      <c r="N164" s="25">
        <v>825</v>
      </c>
      <c r="O164" s="36">
        <v>740.87235808848277</v>
      </c>
      <c r="Q164" s="20">
        <v>705</v>
      </c>
      <c r="R164" s="36">
        <v>16773.853060242371</v>
      </c>
      <c r="V164" s="25">
        <f t="shared" si="72"/>
        <v>575</v>
      </c>
      <c r="W164" s="25">
        <f t="shared" si="72"/>
        <v>111.1543579439227</v>
      </c>
      <c r="Y164" s="25">
        <f t="shared" si="73"/>
        <v>575</v>
      </c>
      <c r="Z164" s="25">
        <f t="shared" si="73"/>
        <v>111.1543579439227</v>
      </c>
      <c r="AA164" s="25">
        <f>VLOOKUP(Y164,'Hazard Weighting Functions'!$B$5:$G$1205,2,FALSE)</f>
        <v>0</v>
      </c>
      <c r="AB164" s="25">
        <f t="shared" si="74"/>
        <v>0</v>
      </c>
      <c r="AC164" s="25">
        <f t="shared" si="75"/>
        <v>0</v>
      </c>
      <c r="AE164" s="25">
        <f>VLOOKUP(Y164,'Hazard Weighting Functions'!$B$5:$G$1205,3,FALSE)</f>
        <v>3.0000000000000001E-3</v>
      </c>
      <c r="AF164" s="25">
        <f t="shared" si="76"/>
        <v>0.3334630738317681</v>
      </c>
      <c r="AG164" s="25">
        <f t="shared" si="77"/>
        <v>1.3754182528759342</v>
      </c>
      <c r="AH164" s="25">
        <f>VLOOKUP(Y164,'Hazard Weighting Functions'!$B$5:$G$1205,5,FALSE)</f>
        <v>0.91539999999999999</v>
      </c>
      <c r="AI164" s="25">
        <f t="shared" si="78"/>
        <v>101.75069926186684</v>
      </c>
      <c r="AJ164" s="25">
        <f t="shared" si="79"/>
        <v>490.04259536365066</v>
      </c>
      <c r="AM164" s="25">
        <f t="shared" si="65"/>
        <v>548.76617900806377</v>
      </c>
      <c r="BF164" s="20">
        <f t="shared" si="82"/>
        <v>1025</v>
      </c>
      <c r="BG164" s="20">
        <f t="shared" si="82"/>
        <v>0</v>
      </c>
      <c r="BH164" s="25">
        <f>VLOOKUP(BF164,'Hazard Weighting Functions'!$B$5:$G$1205,4,FALSE)</f>
        <v>0.224</v>
      </c>
      <c r="BI164" s="25">
        <f t="shared" si="83"/>
        <v>0</v>
      </c>
      <c r="BJ164" s="25">
        <f t="shared" si="84"/>
        <v>0</v>
      </c>
      <c r="BK164" s="1">
        <f t="shared" si="70"/>
        <v>825</v>
      </c>
      <c r="BL164" s="20">
        <f t="shared" si="70"/>
        <v>740.87235808848277</v>
      </c>
      <c r="BM164" s="25">
        <f>VLOOKUP(BK164,'Hazard Weighting Functions'!$B$5:$G$1205,4,FALSE)</f>
        <v>0.56200000000000006</v>
      </c>
      <c r="BN164" s="25">
        <f t="shared" si="85"/>
        <v>416.37026524572735</v>
      </c>
      <c r="BO164" s="25">
        <f t="shared" si="67"/>
        <v>1943.3842476972309</v>
      </c>
      <c r="BP164" s="20">
        <f t="shared" si="71"/>
        <v>705</v>
      </c>
      <c r="BQ164" s="20">
        <f t="shared" si="71"/>
        <v>16773.853060242371</v>
      </c>
      <c r="BR164" s="25">
        <f>VLOOKUP(BP164,'Hazard Weighting Functions'!$B$5:$G$1205,4,FALSE)</f>
        <v>0.97699999999999998</v>
      </c>
      <c r="BS164" s="25">
        <f t="shared" si="86"/>
        <v>16388.054439856794</v>
      </c>
      <c r="BT164" s="25">
        <f t="shared" si="87"/>
        <v>76166.170675915942</v>
      </c>
    </row>
    <row r="165" spans="2:72">
      <c r="B165" s="25">
        <v>580</v>
      </c>
      <c r="C165" s="36">
        <v>108.35211365930279</v>
      </c>
      <c r="E165" s="25">
        <v>580</v>
      </c>
      <c r="F165" s="36"/>
      <c r="H165" s="25">
        <v>580</v>
      </c>
      <c r="I165" s="36"/>
      <c r="K165" s="25">
        <v>1680</v>
      </c>
      <c r="L165" s="36"/>
      <c r="N165" s="25">
        <v>830</v>
      </c>
      <c r="O165" s="36">
        <v>656.33351606029998</v>
      </c>
      <c r="Q165" s="20">
        <v>710</v>
      </c>
      <c r="R165" s="36">
        <v>14741.794586921029</v>
      </c>
      <c r="V165" s="25">
        <f t="shared" si="72"/>
        <v>580</v>
      </c>
      <c r="W165" s="25">
        <f t="shared" si="72"/>
        <v>108.35211365930279</v>
      </c>
      <c r="Y165" s="25">
        <f t="shared" si="73"/>
        <v>580</v>
      </c>
      <c r="Z165" s="25">
        <f t="shared" si="73"/>
        <v>108.35211365930279</v>
      </c>
      <c r="AA165" s="25">
        <f>VLOOKUP(Y165,'Hazard Weighting Functions'!$B$5:$G$1205,2,FALSE)</f>
        <v>0</v>
      </c>
      <c r="AB165" s="25">
        <f t="shared" si="74"/>
        <v>0</v>
      </c>
      <c r="AC165" s="25">
        <f t="shared" si="75"/>
        <v>0</v>
      </c>
      <c r="AE165" s="25">
        <f>VLOOKUP(Y165,'Hazard Weighting Functions'!$B$5:$G$1205,3,FALSE)</f>
        <v>2E-3</v>
      </c>
      <c r="AF165" s="25">
        <f t="shared" si="76"/>
        <v>0.21670422731860559</v>
      </c>
      <c r="AG165" s="25">
        <f t="shared" si="77"/>
        <v>0.80329399838936855</v>
      </c>
      <c r="AH165" s="25">
        <f>VLOOKUP(Y165,'Hazard Weighting Functions'!$B$5:$G$1205,5,FALSE)</f>
        <v>0.87</v>
      </c>
      <c r="AI165" s="25">
        <f t="shared" si="78"/>
        <v>94.26633888359342</v>
      </c>
      <c r="AJ165" s="25">
        <f t="shared" si="79"/>
        <v>449.15558619378078</v>
      </c>
      <c r="AM165" s="25">
        <f t="shared" si="65"/>
        <v>532.41371424111162</v>
      </c>
      <c r="BF165" s="20">
        <f t="shared" si="82"/>
        <v>1030</v>
      </c>
      <c r="BG165" s="20">
        <f t="shared" si="82"/>
        <v>0</v>
      </c>
      <c r="BH165" s="25">
        <f>VLOOKUP(BF165,'Hazard Weighting Functions'!$B$5:$G$1205,4,FALSE)</f>
        <v>0.219</v>
      </c>
      <c r="BI165" s="25">
        <f t="shared" si="83"/>
        <v>0</v>
      </c>
      <c r="BJ165" s="25">
        <f t="shared" si="84"/>
        <v>0</v>
      </c>
      <c r="BK165" s="1">
        <f t="shared" si="70"/>
        <v>830</v>
      </c>
      <c r="BL165" s="20">
        <f t="shared" si="70"/>
        <v>656.33351606029998</v>
      </c>
      <c r="BM165" s="25">
        <f>VLOOKUP(BK165,'Hazard Weighting Functions'!$B$5:$G$1205,4,FALSE)</f>
        <v>0.55000000000000004</v>
      </c>
      <c r="BN165" s="25">
        <f t="shared" si="85"/>
        <v>360.98343383316501</v>
      </c>
      <c r="BO165" s="25">
        <f t="shared" si="67"/>
        <v>1684.5075648058855</v>
      </c>
      <c r="BP165" s="20">
        <f t="shared" si="71"/>
        <v>710</v>
      </c>
      <c r="BQ165" s="20">
        <f t="shared" si="71"/>
        <v>14741.794586921029</v>
      </c>
      <c r="BR165" s="25">
        <f>VLOOKUP(BP165,'Hazard Weighting Functions'!$B$5:$G$1205,4,FALSE)</f>
        <v>0.95499999999999996</v>
      </c>
      <c r="BS165" s="25">
        <f t="shared" si="86"/>
        <v>14078.413830509582</v>
      </c>
      <c r="BT165" s="25">
        <f t="shared" si="87"/>
        <v>65392.912335088331</v>
      </c>
    </row>
    <row r="166" spans="2:72">
      <c r="B166" s="25">
        <v>585</v>
      </c>
      <c r="C166" s="36">
        <v>104.61337203714186</v>
      </c>
      <c r="E166" s="25">
        <v>585</v>
      </c>
      <c r="F166" s="36"/>
      <c r="H166" s="25">
        <v>585</v>
      </c>
      <c r="I166" s="36"/>
      <c r="K166" s="25">
        <v>1685</v>
      </c>
      <c r="L166" s="36"/>
      <c r="N166" s="25">
        <v>835</v>
      </c>
      <c r="O166" s="36">
        <v>582.53182884392777</v>
      </c>
      <c r="Q166" s="20">
        <v>715</v>
      </c>
      <c r="R166" s="36">
        <v>12946.142661871112</v>
      </c>
      <c r="V166" s="25">
        <f t="shared" si="72"/>
        <v>585</v>
      </c>
      <c r="W166" s="25">
        <f t="shared" si="72"/>
        <v>104.61337203714186</v>
      </c>
      <c r="Y166" s="25">
        <f t="shared" si="73"/>
        <v>585</v>
      </c>
      <c r="Z166" s="25">
        <f t="shared" si="73"/>
        <v>104.61337203714186</v>
      </c>
      <c r="AA166" s="25">
        <f>VLOOKUP(Y166,'Hazard Weighting Functions'!$B$5:$G$1205,2,FALSE)</f>
        <v>0</v>
      </c>
      <c r="AB166" s="25">
        <f t="shared" si="74"/>
        <v>0</v>
      </c>
      <c r="AC166" s="25">
        <f t="shared" si="75"/>
        <v>0</v>
      </c>
      <c r="AE166" s="25">
        <f>VLOOKUP(Y166,'Hazard Weighting Functions'!$B$5:$G$1205,3,FALSE)</f>
        <v>1E-3</v>
      </c>
      <c r="AF166" s="25">
        <f t="shared" si="76"/>
        <v>0.10461337203714186</v>
      </c>
      <c r="AG166" s="25">
        <f t="shared" si="77"/>
        <v>0.51283841731479485</v>
      </c>
      <c r="AH166" s="25">
        <f>VLOOKUP(Y166,'Hazard Weighting Functions'!$B$5:$G$1205,5,FALSE)</f>
        <v>0.81630000000000003</v>
      </c>
      <c r="AI166" s="25">
        <f t="shared" si="78"/>
        <v>85.395895593918894</v>
      </c>
      <c r="AJ166" s="25">
        <f t="shared" si="79"/>
        <v>403.72761431180595</v>
      </c>
      <c r="AM166" s="25">
        <f t="shared" si="65"/>
        <v>512.83841731479481</v>
      </c>
      <c r="BF166" s="20">
        <f t="shared" si="82"/>
        <v>1035</v>
      </c>
      <c r="BG166" s="20">
        <f t="shared" si="82"/>
        <v>0</v>
      </c>
      <c r="BH166" s="25">
        <f>VLOOKUP(BF166,'Hazard Weighting Functions'!$B$5:$G$1205,4,FALSE)</f>
        <v>0.214</v>
      </c>
      <c r="BI166" s="25">
        <f t="shared" si="83"/>
        <v>0</v>
      </c>
      <c r="BJ166" s="25">
        <f t="shared" si="84"/>
        <v>0</v>
      </c>
      <c r="BK166" s="1">
        <f t="shared" si="70"/>
        <v>835</v>
      </c>
      <c r="BL166" s="20">
        <f t="shared" si="70"/>
        <v>582.53182884392777</v>
      </c>
      <c r="BM166" s="25">
        <f>VLOOKUP(BK166,'Hazard Weighting Functions'!$B$5:$G$1205,4,FALSE)</f>
        <v>0.53700000000000003</v>
      </c>
      <c r="BN166" s="25">
        <f t="shared" si="85"/>
        <v>312.81959208918926</v>
      </c>
      <c r="BO166" s="25">
        <f t="shared" si="67"/>
        <v>1444.7896150230117</v>
      </c>
      <c r="BP166" s="20">
        <f t="shared" si="71"/>
        <v>715</v>
      </c>
      <c r="BQ166" s="20">
        <f t="shared" si="71"/>
        <v>12946.142661871112</v>
      </c>
      <c r="BR166" s="25">
        <f>VLOOKUP(BP166,'Hazard Weighting Functions'!$B$5:$G$1205,4,FALSE)</f>
        <v>0.93300000000000005</v>
      </c>
      <c r="BS166" s="25">
        <f t="shared" si="86"/>
        <v>12078.751103525748</v>
      </c>
      <c r="BT166" s="25">
        <f t="shared" si="87"/>
        <v>56300.595861989917</v>
      </c>
    </row>
    <row r="167" spans="2:72">
      <c r="B167" s="25">
        <v>590</v>
      </c>
      <c r="C167" s="36">
        <v>100.52199488877608</v>
      </c>
      <c r="E167" s="25">
        <v>590</v>
      </c>
      <c r="F167" s="36"/>
      <c r="H167" s="25">
        <v>590</v>
      </c>
      <c r="I167" s="36"/>
      <c r="K167" s="25">
        <v>1690</v>
      </c>
      <c r="L167" s="36"/>
      <c r="N167" s="25">
        <v>840</v>
      </c>
      <c r="O167" s="36">
        <v>504.94524556193392</v>
      </c>
      <c r="Q167" s="20">
        <v>720</v>
      </c>
      <c r="R167" s="36">
        <v>11448.99916805945</v>
      </c>
      <c r="V167" s="25">
        <f t="shared" si="72"/>
        <v>590</v>
      </c>
      <c r="W167" s="25">
        <f t="shared" si="72"/>
        <v>100.52199488877608</v>
      </c>
      <c r="Y167" s="25">
        <f t="shared" si="73"/>
        <v>590</v>
      </c>
      <c r="Z167" s="25">
        <f t="shared" si="73"/>
        <v>100.52199488877608</v>
      </c>
      <c r="AA167" s="25">
        <f>VLOOKUP(Y167,'Hazard Weighting Functions'!$B$5:$G$1205,2,FALSE)</f>
        <v>0</v>
      </c>
      <c r="AB167" s="25">
        <f t="shared" si="74"/>
        <v>0</v>
      </c>
      <c r="AC167" s="25">
        <f t="shared" si="75"/>
        <v>0</v>
      </c>
      <c r="AE167" s="25">
        <f>VLOOKUP(Y167,'Hazard Weighting Functions'!$B$5:$G$1205,3,FALSE)</f>
        <v>1E-3</v>
      </c>
      <c r="AF167" s="25">
        <f t="shared" si="76"/>
        <v>0.10052199488877608</v>
      </c>
      <c r="AG167" s="25">
        <f t="shared" si="77"/>
        <v>0.49187203204277785</v>
      </c>
      <c r="AH167" s="25">
        <f>VLOOKUP(Y167,'Hazard Weighting Functions'!$B$5:$G$1205,5,FALSE)</f>
        <v>0.75700000000000001</v>
      </c>
      <c r="AI167" s="25">
        <f t="shared" si="78"/>
        <v>76.095150130803489</v>
      </c>
      <c r="AJ167" s="25">
        <f t="shared" si="79"/>
        <v>357.40791477300877</v>
      </c>
      <c r="AM167" s="25">
        <f t="shared" si="65"/>
        <v>491.87203204277779</v>
      </c>
      <c r="BF167" s="20">
        <f t="shared" si="82"/>
        <v>1040</v>
      </c>
      <c r="BG167" s="20">
        <f t="shared" si="82"/>
        <v>0</v>
      </c>
      <c r="BH167" s="25">
        <f>VLOOKUP(BF167,'Hazard Weighting Functions'!$B$5:$G$1205,4,FALSE)</f>
        <v>0.20899999999999999</v>
      </c>
      <c r="BI167" s="25">
        <f t="shared" si="83"/>
        <v>0</v>
      </c>
      <c r="BJ167" s="25">
        <f t="shared" si="84"/>
        <v>0</v>
      </c>
      <c r="BK167" s="1">
        <f t="shared" si="70"/>
        <v>840</v>
      </c>
      <c r="BL167" s="20">
        <f t="shared" si="70"/>
        <v>504.94524556193392</v>
      </c>
      <c r="BM167" s="25">
        <f>VLOOKUP(BK167,'Hazard Weighting Functions'!$B$5:$G$1205,4,FALSE)</f>
        <v>0.52500000000000002</v>
      </c>
      <c r="BN167" s="25">
        <f t="shared" si="85"/>
        <v>265.09625392001533</v>
      </c>
      <c r="BO167" s="25">
        <f t="shared" si="67"/>
        <v>1236.7626613652524</v>
      </c>
      <c r="BP167" s="20">
        <f t="shared" si="71"/>
        <v>720</v>
      </c>
      <c r="BQ167" s="20">
        <f t="shared" si="71"/>
        <v>11448.99916805945</v>
      </c>
      <c r="BR167" s="25">
        <f>VLOOKUP(BP167,'Hazard Weighting Functions'!$B$5:$G$1205,4,FALSE)</f>
        <v>0.91200000000000003</v>
      </c>
      <c r="BS167" s="25">
        <f t="shared" si="86"/>
        <v>10441.487241270219</v>
      </c>
      <c r="BT167" s="25">
        <f t="shared" si="87"/>
        <v>48576.418919731455</v>
      </c>
    </row>
    <row r="168" spans="2:72">
      <c r="B168" s="25">
        <v>595</v>
      </c>
      <c r="C168" s="36">
        <v>96.226817928335052</v>
      </c>
      <c r="E168" s="25">
        <v>595</v>
      </c>
      <c r="F168" s="36"/>
      <c r="H168" s="25">
        <v>595</v>
      </c>
      <c r="I168" s="36"/>
      <c r="K168" s="25">
        <v>1695</v>
      </c>
      <c r="L168" s="36"/>
      <c r="N168" s="25">
        <v>845</v>
      </c>
      <c r="O168" s="36">
        <v>447.58052753622923</v>
      </c>
      <c r="Q168" s="20">
        <v>725</v>
      </c>
      <c r="R168" s="36">
        <v>10088.75457533374</v>
      </c>
      <c r="V168" s="25">
        <f t="shared" si="72"/>
        <v>595</v>
      </c>
      <c r="W168" s="25">
        <f t="shared" si="72"/>
        <v>96.226817928335052</v>
      </c>
      <c r="Y168" s="25">
        <f t="shared" si="73"/>
        <v>595</v>
      </c>
      <c r="Z168" s="25">
        <f t="shared" si="73"/>
        <v>96.226817928335052</v>
      </c>
      <c r="AA168" s="25">
        <f>VLOOKUP(Y168,'Hazard Weighting Functions'!$B$5:$G$1205,2,FALSE)</f>
        <v>0</v>
      </c>
      <c r="AB168" s="25">
        <f t="shared" si="74"/>
        <v>0</v>
      </c>
      <c r="AC168" s="25">
        <f t="shared" si="75"/>
        <v>0</v>
      </c>
      <c r="AE168" s="25">
        <f>VLOOKUP(Y168,'Hazard Weighting Functions'!$B$5:$G$1205,3,FALSE)</f>
        <v>1E-3</v>
      </c>
      <c r="AF168" s="25">
        <f t="shared" si="76"/>
        <v>9.6226817928335054E-2</v>
      </c>
      <c r="AG168" s="25">
        <f t="shared" si="77"/>
        <v>0.46926782602342759</v>
      </c>
      <c r="AH168" s="25">
        <f>VLOOKUP(Y168,'Hazard Weighting Functions'!$B$5:$G$1205,5,FALSE)</f>
        <v>0.69489999999999996</v>
      </c>
      <c r="AI168" s="25">
        <f t="shared" si="78"/>
        <v>66.868015778400022</v>
      </c>
      <c r="AJ168" s="25">
        <f t="shared" si="79"/>
        <v>311.48023238483432</v>
      </c>
      <c r="AM168" s="25">
        <f t="shared" si="65"/>
        <v>469.26782602342763</v>
      </c>
      <c r="BF168" s="20">
        <f t="shared" si="82"/>
        <v>1045</v>
      </c>
      <c r="BG168" s="20">
        <f t="shared" si="82"/>
        <v>0</v>
      </c>
      <c r="BH168" s="25">
        <f>VLOOKUP(BF168,'Hazard Weighting Functions'!$B$5:$G$1205,4,FALSE)</f>
        <v>0.20399999999999999</v>
      </c>
      <c r="BI168" s="25">
        <f t="shared" si="83"/>
        <v>0</v>
      </c>
      <c r="BJ168" s="25">
        <f t="shared" si="84"/>
        <v>0</v>
      </c>
      <c r="BK168" s="1">
        <f t="shared" si="70"/>
        <v>845</v>
      </c>
      <c r="BL168" s="20">
        <f t="shared" si="70"/>
        <v>447.58052753622923</v>
      </c>
      <c r="BM168" s="25">
        <f>VLOOKUP(BK168,'Hazard Weighting Functions'!$B$5:$G$1205,4,FALSE)</f>
        <v>0.51300000000000001</v>
      </c>
      <c r="BN168" s="25">
        <f t="shared" si="85"/>
        <v>229.60881062608559</v>
      </c>
      <c r="BO168" s="25">
        <f t="shared" si="67"/>
        <v>1069.0716028421893</v>
      </c>
      <c r="BP168" s="20">
        <f t="shared" si="71"/>
        <v>725</v>
      </c>
      <c r="BQ168" s="20">
        <f t="shared" si="71"/>
        <v>10088.75457533374</v>
      </c>
      <c r="BR168" s="25">
        <f>VLOOKUP(BP168,'Hazard Weighting Functions'!$B$5:$G$1205,4,FALSE)</f>
        <v>0.89100000000000001</v>
      </c>
      <c r="BS168" s="25">
        <f t="shared" si="86"/>
        <v>8989.0803266223629</v>
      </c>
      <c r="BT168" s="25">
        <f t="shared" si="87"/>
        <v>41867.624710604839</v>
      </c>
    </row>
    <row r="169" spans="2:72">
      <c r="B169" s="25">
        <v>600</v>
      </c>
      <c r="C169" s="36">
        <v>91.480312481035995</v>
      </c>
      <c r="E169" s="25">
        <v>600</v>
      </c>
      <c r="F169" s="36"/>
      <c r="H169" s="25">
        <v>600</v>
      </c>
      <c r="I169" s="36"/>
      <c r="K169" s="25">
        <v>1700</v>
      </c>
      <c r="L169" s="36"/>
      <c r="N169" s="25">
        <v>850</v>
      </c>
      <c r="O169" s="36">
        <v>395.24916269618797</v>
      </c>
      <c r="Q169" s="20">
        <v>730</v>
      </c>
      <c r="R169" s="36">
        <v>8906.9684932486489</v>
      </c>
      <c r="V169" s="25">
        <f t="shared" si="72"/>
        <v>600</v>
      </c>
      <c r="W169" s="25">
        <f t="shared" si="72"/>
        <v>91.480312481035995</v>
      </c>
      <c r="Y169" s="25">
        <f t="shared" si="73"/>
        <v>600</v>
      </c>
      <c r="Z169" s="25">
        <f t="shared" si="73"/>
        <v>91.480312481035995</v>
      </c>
      <c r="AA169" s="25">
        <f>VLOOKUP(Y169,'Hazard Weighting Functions'!$B$5:$G$1205,2,FALSE)</f>
        <v>0</v>
      </c>
      <c r="AB169" s="25">
        <f t="shared" si="74"/>
        <v>0</v>
      </c>
      <c r="AC169" s="25">
        <f t="shared" si="75"/>
        <v>0</v>
      </c>
      <c r="AE169" s="25">
        <f>VLOOKUP(Y169,'Hazard Weighting Functions'!$B$5:$G$1205,3,FALSE)</f>
        <v>1E-3</v>
      </c>
      <c r="AF169" s="25">
        <f t="shared" si="76"/>
        <v>9.1480312481035997E-2</v>
      </c>
      <c r="AG169" s="25">
        <f t="shared" si="77"/>
        <v>0.44482711934109792</v>
      </c>
      <c r="AH169" s="25">
        <f>VLOOKUP(Y169,'Hazard Weighting Functions'!$B$5:$G$1205,5,FALSE)</f>
        <v>0.63100000000000001</v>
      </c>
      <c r="AI169" s="25">
        <f t="shared" si="78"/>
        <v>57.724077175533715</v>
      </c>
      <c r="AJ169" s="25">
        <f t="shared" si="79"/>
        <v>266.8106013957406</v>
      </c>
      <c r="AM169" s="25">
        <f t="shared" si="65"/>
        <v>444.82711934109784</v>
      </c>
      <c r="BF169" s="20">
        <f t="shared" si="82"/>
        <v>1050</v>
      </c>
      <c r="BG169" s="20">
        <f t="shared" si="82"/>
        <v>0</v>
      </c>
      <c r="BH169" s="25">
        <f>VLOOKUP(BF169,'Hazard Weighting Functions'!$B$5:$G$1205,4,FALSE)</f>
        <v>0.2</v>
      </c>
      <c r="BI169" s="25">
        <f t="shared" si="83"/>
        <v>0</v>
      </c>
      <c r="BJ169" s="25">
        <f t="shared" si="84"/>
        <v>0</v>
      </c>
      <c r="BK169" s="1">
        <f t="shared" si="70"/>
        <v>850</v>
      </c>
      <c r="BL169" s="20">
        <f t="shared" si="70"/>
        <v>395.24916269618797</v>
      </c>
      <c r="BM169" s="25">
        <f>VLOOKUP(BK169,'Hazard Weighting Functions'!$B$5:$G$1205,4,FALSE)</f>
        <v>0.501</v>
      </c>
      <c r="BN169" s="25">
        <f t="shared" si="85"/>
        <v>198.01983051079017</v>
      </c>
      <c r="BO169" s="25">
        <f t="shared" si="67"/>
        <v>923.1886887043388</v>
      </c>
      <c r="BP169" s="20">
        <f t="shared" si="71"/>
        <v>730</v>
      </c>
      <c r="BQ169" s="20">
        <f t="shared" si="71"/>
        <v>8906.9684932486489</v>
      </c>
      <c r="BR169" s="25">
        <f>VLOOKUP(BP169,'Hazard Weighting Functions'!$B$5:$G$1205,4,FALSE)</f>
        <v>0.871</v>
      </c>
      <c r="BS169" s="25">
        <f t="shared" si="86"/>
        <v>7757.9695576195727</v>
      </c>
      <c r="BT169" s="25">
        <f t="shared" si="87"/>
        <v>36115.661823612943</v>
      </c>
    </row>
    <row r="170" spans="2:72">
      <c r="B170" s="25">
        <v>605</v>
      </c>
      <c r="C170" s="36">
        <v>86.450535255403167</v>
      </c>
      <c r="E170" s="25">
        <v>605</v>
      </c>
      <c r="F170" s="36"/>
      <c r="H170" s="25">
        <v>605</v>
      </c>
      <c r="I170" s="36"/>
      <c r="K170" s="25">
        <v>1705</v>
      </c>
      <c r="L170" s="36"/>
      <c r="N170" s="25">
        <v>855</v>
      </c>
      <c r="O170" s="36">
        <v>349.50131626723544</v>
      </c>
      <c r="Q170" s="20">
        <v>735</v>
      </c>
      <c r="R170" s="36">
        <v>7859.3362771158718</v>
      </c>
      <c r="V170" s="25">
        <f t="shared" si="72"/>
        <v>605</v>
      </c>
      <c r="W170" s="25">
        <f t="shared" si="72"/>
        <v>86.450535255403167</v>
      </c>
      <c r="Y170" s="25">
        <f t="shared" si="73"/>
        <v>605</v>
      </c>
      <c r="Z170" s="25">
        <f t="shared" si="73"/>
        <v>86.450535255403167</v>
      </c>
      <c r="AA170" s="25">
        <f>VLOOKUP(Y170,'Hazard Weighting Functions'!$B$5:$G$1205,2,FALSE)</f>
        <v>0</v>
      </c>
      <c r="AB170" s="25">
        <f t="shared" si="74"/>
        <v>0</v>
      </c>
      <c r="AC170" s="25">
        <f t="shared" si="75"/>
        <v>0</v>
      </c>
      <c r="AE170" s="25">
        <f>VLOOKUP(Y170,'Hazard Weighting Functions'!$B$5:$G$1205,3,FALSE)</f>
        <v>1E-3</v>
      </c>
      <c r="AF170" s="25">
        <f t="shared" si="76"/>
        <v>8.6450535255403166E-2</v>
      </c>
      <c r="AG170" s="25">
        <f t="shared" si="77"/>
        <v>0.41895767402416206</v>
      </c>
      <c r="AH170" s="25">
        <f>VLOOKUP(Y170,'Hazard Weighting Functions'!$B$5:$G$1205,5,FALSE)</f>
        <v>0.56679999999999997</v>
      </c>
      <c r="AI170" s="25">
        <f t="shared" si="78"/>
        <v>49.000163382762516</v>
      </c>
      <c r="AJ170" s="25">
        <f t="shared" si="79"/>
        <v>224.52457040739031</v>
      </c>
      <c r="AM170" s="25">
        <f t="shared" si="65"/>
        <v>418.95767402416203</v>
      </c>
      <c r="BF170" s="20">
        <f t="shared" si="82"/>
        <v>1055</v>
      </c>
      <c r="BG170" s="20">
        <f t="shared" si="82"/>
        <v>0</v>
      </c>
      <c r="BH170" s="25">
        <f>VLOOKUP(BF170,'Hazard Weighting Functions'!$B$5:$G$1205,4,FALSE)</f>
        <v>0.2</v>
      </c>
      <c r="BI170" s="25">
        <f t="shared" si="83"/>
        <v>0</v>
      </c>
      <c r="BJ170" s="25">
        <f t="shared" si="84"/>
        <v>0</v>
      </c>
      <c r="BK170" s="1">
        <f t="shared" si="70"/>
        <v>855</v>
      </c>
      <c r="BL170" s="20">
        <f t="shared" si="70"/>
        <v>349.50131626723544</v>
      </c>
      <c r="BM170" s="25">
        <f>VLOOKUP(BK170,'Hazard Weighting Functions'!$B$5:$G$1205,4,FALSE)</f>
        <v>0.49</v>
      </c>
      <c r="BN170" s="25">
        <f t="shared" si="85"/>
        <v>171.25564497094535</v>
      </c>
      <c r="BO170" s="25">
        <f t="shared" si="67"/>
        <v>798.9459448468034</v>
      </c>
      <c r="BP170" s="20">
        <f t="shared" si="71"/>
        <v>735</v>
      </c>
      <c r="BQ170" s="20">
        <f t="shared" si="71"/>
        <v>7859.3362771158718</v>
      </c>
      <c r="BR170" s="25">
        <f>VLOOKUP(BP170,'Hazard Weighting Functions'!$B$5:$G$1205,4,FALSE)</f>
        <v>0.85099999999999998</v>
      </c>
      <c r="BS170" s="25">
        <f t="shared" si="86"/>
        <v>6688.2951718256063</v>
      </c>
      <c r="BT170" s="25">
        <f t="shared" si="87"/>
        <v>31049.13984777077</v>
      </c>
    </row>
    <row r="171" spans="2:72">
      <c r="B171" s="25">
        <v>610</v>
      </c>
      <c r="C171" s="36">
        <v>81.132534354261651</v>
      </c>
      <c r="E171" s="25">
        <v>610</v>
      </c>
      <c r="F171" s="36"/>
      <c r="H171" s="25">
        <v>610</v>
      </c>
      <c r="I171" s="36"/>
      <c r="K171" s="25">
        <v>1710</v>
      </c>
      <c r="L171" s="36"/>
      <c r="N171" s="25">
        <v>860</v>
      </c>
      <c r="O171" s="36">
        <v>309.65079951519004</v>
      </c>
      <c r="Q171" s="20">
        <v>740</v>
      </c>
      <c r="R171" s="36">
        <v>6888.6547683686322</v>
      </c>
      <c r="V171" s="25">
        <f t="shared" si="72"/>
        <v>610</v>
      </c>
      <c r="W171" s="25">
        <f t="shared" si="72"/>
        <v>81.132534354261651</v>
      </c>
      <c r="Y171" s="25">
        <f t="shared" si="73"/>
        <v>610</v>
      </c>
      <c r="Z171" s="25">
        <f t="shared" si="73"/>
        <v>81.132534354261651</v>
      </c>
      <c r="AA171" s="25">
        <f>VLOOKUP(Y171,'Hazard Weighting Functions'!$B$5:$G$1205,2,FALSE)</f>
        <v>0</v>
      </c>
      <c r="AB171" s="25">
        <f t="shared" si="74"/>
        <v>0</v>
      </c>
      <c r="AC171" s="25">
        <f t="shared" si="75"/>
        <v>0</v>
      </c>
      <c r="AE171" s="25">
        <f>VLOOKUP(Y171,'Hazard Weighting Functions'!$B$5:$G$1205,3,FALSE)</f>
        <v>1E-3</v>
      </c>
      <c r="AF171" s="25">
        <f t="shared" si="76"/>
        <v>8.1132534354261654E-2</v>
      </c>
      <c r="AG171" s="25">
        <f t="shared" si="77"/>
        <v>0.39206142423585466</v>
      </c>
      <c r="AH171" s="25">
        <f>VLOOKUP(Y171,'Hazard Weighting Functions'!$B$5:$G$1205,5,FALSE)</f>
        <v>0.503</v>
      </c>
      <c r="AI171" s="25">
        <f t="shared" si="78"/>
        <v>40.809664780193607</v>
      </c>
      <c r="AJ171" s="25">
        <f t="shared" si="79"/>
        <v>185.5124769305925</v>
      </c>
      <c r="AM171" s="25">
        <f t="shared" si="65"/>
        <v>392.06142423585459</v>
      </c>
      <c r="BF171" s="20">
        <f t="shared" si="82"/>
        <v>1060</v>
      </c>
      <c r="BG171" s="20">
        <f t="shared" si="82"/>
        <v>0</v>
      </c>
      <c r="BH171" s="25">
        <f>VLOOKUP(BF171,'Hazard Weighting Functions'!$B$5:$G$1205,4,FALSE)</f>
        <v>0.2</v>
      </c>
      <c r="BI171" s="25">
        <f t="shared" si="83"/>
        <v>0</v>
      </c>
      <c r="BJ171" s="25">
        <f t="shared" si="84"/>
        <v>0</v>
      </c>
      <c r="BK171" s="1">
        <f t="shared" si="70"/>
        <v>860</v>
      </c>
      <c r="BL171" s="20">
        <f t="shared" si="70"/>
        <v>309.65079951519004</v>
      </c>
      <c r="BM171" s="25">
        <f>VLOOKUP(BK171,'Hazard Weighting Functions'!$B$5:$G$1205,4,FALSE)</f>
        <v>0.47899999999999998</v>
      </c>
      <c r="BN171" s="25">
        <f t="shared" si="85"/>
        <v>148.32273296777603</v>
      </c>
      <c r="BO171" s="25">
        <f t="shared" si="67"/>
        <v>690.26690304536601</v>
      </c>
      <c r="BP171" s="20">
        <f t="shared" si="71"/>
        <v>740</v>
      </c>
      <c r="BQ171" s="20">
        <f t="shared" si="71"/>
        <v>6888.6547683686322</v>
      </c>
      <c r="BR171" s="25">
        <f>VLOOKUP(BP171,'Hazard Weighting Functions'!$B$5:$G$1205,4,FALSE)</f>
        <v>0.83199999999999996</v>
      </c>
      <c r="BS171" s="25">
        <f t="shared" si="86"/>
        <v>5731.360767282702</v>
      </c>
      <c r="BT171" s="25">
        <f t="shared" si="87"/>
        <v>26659.787188337024</v>
      </c>
    </row>
    <row r="172" spans="2:72">
      <c r="B172" s="25">
        <v>615</v>
      </c>
      <c r="C172" s="36">
        <v>75.69203534008021</v>
      </c>
      <c r="E172" s="25">
        <v>615</v>
      </c>
      <c r="F172" s="36"/>
      <c r="H172" s="25">
        <v>615</v>
      </c>
      <c r="I172" s="36"/>
      <c r="K172" s="25">
        <v>1715</v>
      </c>
      <c r="L172" s="36"/>
      <c r="N172" s="25">
        <v>865</v>
      </c>
      <c r="O172" s="36">
        <v>273.04279540677425</v>
      </c>
      <c r="Q172" s="20">
        <v>745</v>
      </c>
      <c r="R172" s="36">
        <v>6067.1022239263311</v>
      </c>
      <c r="V172" s="25">
        <f t="shared" si="72"/>
        <v>615</v>
      </c>
      <c r="W172" s="25">
        <f t="shared" si="72"/>
        <v>75.69203534008021</v>
      </c>
      <c r="Y172" s="25">
        <f t="shared" si="73"/>
        <v>615</v>
      </c>
      <c r="Z172" s="25">
        <f t="shared" si="73"/>
        <v>75.69203534008021</v>
      </c>
      <c r="AA172" s="25">
        <f>VLOOKUP(Y172,'Hazard Weighting Functions'!$B$5:$G$1205,2,FALSE)</f>
        <v>0</v>
      </c>
      <c r="AB172" s="25">
        <f t="shared" si="74"/>
        <v>0</v>
      </c>
      <c r="AC172" s="25">
        <f t="shared" si="75"/>
        <v>0</v>
      </c>
      <c r="AE172" s="25">
        <f>VLOOKUP(Y172,'Hazard Weighting Functions'!$B$5:$G$1205,3,FALSE)</f>
        <v>1E-3</v>
      </c>
      <c r="AF172" s="25">
        <f t="shared" si="76"/>
        <v>7.5692035340080205E-2</v>
      </c>
      <c r="AG172" s="25">
        <f t="shared" si="77"/>
        <v>0.3651007309333042</v>
      </c>
      <c r="AH172" s="25">
        <f>VLOOKUP(Y172,'Hazard Weighting Functions'!$B$5:$G$1205,5,FALSE)</f>
        <v>0.44119999999999998</v>
      </c>
      <c r="AI172" s="25">
        <f t="shared" si="78"/>
        <v>33.395325992043389</v>
      </c>
      <c r="AJ172" s="25">
        <f t="shared" si="79"/>
        <v>150.49502980427096</v>
      </c>
      <c r="AM172" s="25">
        <f t="shared" si="65"/>
        <v>365.10073093330419</v>
      </c>
      <c r="BF172" s="20">
        <f t="shared" si="82"/>
        <v>1065</v>
      </c>
      <c r="BG172" s="20">
        <f t="shared" si="82"/>
        <v>0</v>
      </c>
      <c r="BH172" s="25">
        <f>VLOOKUP(BF172,'Hazard Weighting Functions'!$B$5:$G$1205,4,FALSE)</f>
        <v>0.2</v>
      </c>
      <c r="BI172" s="25">
        <f t="shared" si="83"/>
        <v>0</v>
      </c>
      <c r="BJ172" s="25">
        <f t="shared" si="84"/>
        <v>0</v>
      </c>
      <c r="BK172" s="1">
        <f t="shared" si="70"/>
        <v>865</v>
      </c>
      <c r="BL172" s="20">
        <f t="shared" si="70"/>
        <v>273.04279540677425</v>
      </c>
      <c r="BM172" s="25">
        <f>VLOOKUP(BK172,'Hazard Weighting Functions'!$B$5:$G$1205,4,FALSE)</f>
        <v>0.46800000000000003</v>
      </c>
      <c r="BN172" s="25">
        <f t="shared" si="85"/>
        <v>127.78402825037035</v>
      </c>
      <c r="BO172" s="25">
        <f t="shared" si="67"/>
        <v>595.29588579518622</v>
      </c>
      <c r="BP172" s="20">
        <f t="shared" si="71"/>
        <v>745</v>
      </c>
      <c r="BQ172" s="20">
        <f t="shared" si="71"/>
        <v>6067.1022239263311</v>
      </c>
      <c r="BR172" s="25">
        <f>VLOOKUP(BP172,'Hazard Weighting Functions'!$B$5:$G$1205,4,FALSE)</f>
        <v>0.81299999999999994</v>
      </c>
      <c r="BS172" s="25">
        <f t="shared" si="86"/>
        <v>4932.554108052107</v>
      </c>
      <c r="BT172" s="25">
        <f t="shared" si="87"/>
        <v>22985.633533526365</v>
      </c>
    </row>
    <row r="173" spans="2:72">
      <c r="B173" s="25">
        <v>620</v>
      </c>
      <c r="C173" s="36">
        <v>70.348257033241467</v>
      </c>
      <c r="E173" s="25">
        <v>620</v>
      </c>
      <c r="F173" s="36"/>
      <c r="H173" s="25">
        <v>620</v>
      </c>
      <c r="I173" s="36"/>
      <c r="K173" s="25">
        <v>1720</v>
      </c>
      <c r="L173" s="36"/>
      <c r="N173" s="25">
        <v>870</v>
      </c>
      <c r="O173" s="36">
        <v>241.43178570613597</v>
      </c>
      <c r="Q173" s="20">
        <v>750</v>
      </c>
      <c r="R173" s="36">
        <v>5367.3794777814092</v>
      </c>
      <c r="V173" s="25">
        <f t="shared" si="72"/>
        <v>620</v>
      </c>
      <c r="W173" s="25">
        <f t="shared" si="72"/>
        <v>70.348257033241467</v>
      </c>
      <c r="Y173" s="25">
        <f t="shared" si="73"/>
        <v>620</v>
      </c>
      <c r="Z173" s="25">
        <f t="shared" si="73"/>
        <v>70.348257033241467</v>
      </c>
      <c r="AA173" s="25">
        <f>VLOOKUP(Y173,'Hazard Weighting Functions'!$B$5:$G$1205,2,FALSE)</f>
        <v>0</v>
      </c>
      <c r="AB173" s="25">
        <f t="shared" si="74"/>
        <v>0</v>
      </c>
      <c r="AC173" s="25">
        <f t="shared" si="75"/>
        <v>0</v>
      </c>
      <c r="AE173" s="25">
        <f>VLOOKUP(Y173,'Hazard Weighting Functions'!$B$5:$G$1205,3,FALSE)</f>
        <v>1E-3</v>
      </c>
      <c r="AF173" s="25">
        <f t="shared" si="76"/>
        <v>7.0348257033241463E-2</v>
      </c>
      <c r="AG173" s="25">
        <f t="shared" si="77"/>
        <v>0.33832186906781236</v>
      </c>
      <c r="AH173" s="25">
        <f>VLOOKUP(Y173,'Hazard Weighting Functions'!$B$5:$G$1205,5,FALSE)</f>
        <v>0.38100000000000001</v>
      </c>
      <c r="AI173" s="25">
        <f t="shared" si="78"/>
        <v>26.802685929665</v>
      </c>
      <c r="AJ173" s="25">
        <f t="shared" si="79"/>
        <v>119.15355852575399</v>
      </c>
      <c r="AM173" s="25">
        <f t="shared" si="65"/>
        <v>338.32186906781232</v>
      </c>
      <c r="BF173" s="20">
        <f t="shared" si="82"/>
        <v>1070</v>
      </c>
      <c r="BG173" s="20">
        <f t="shared" si="82"/>
        <v>0</v>
      </c>
      <c r="BH173" s="25">
        <f>VLOOKUP(BF173,'Hazard Weighting Functions'!$B$5:$G$1205,4,FALSE)</f>
        <v>0.2</v>
      </c>
      <c r="BI173" s="25">
        <f t="shared" si="83"/>
        <v>0</v>
      </c>
      <c r="BJ173" s="25">
        <f t="shared" si="84"/>
        <v>0</v>
      </c>
      <c r="BK173" s="1">
        <f t="shared" si="70"/>
        <v>870</v>
      </c>
      <c r="BL173" s="20">
        <f t="shared" si="70"/>
        <v>241.43178570613597</v>
      </c>
      <c r="BM173" s="25">
        <f>VLOOKUP(BK173,'Hazard Weighting Functions'!$B$5:$G$1205,4,FALSE)</f>
        <v>0.45700000000000002</v>
      </c>
      <c r="BN173" s="25">
        <f t="shared" si="85"/>
        <v>110.33432606770414</v>
      </c>
      <c r="BO173" s="25">
        <f t="shared" si="67"/>
        <v>515.30382054972381</v>
      </c>
      <c r="BP173" s="20">
        <f t="shared" si="71"/>
        <v>750</v>
      </c>
      <c r="BQ173" s="20">
        <f t="shared" si="71"/>
        <v>5367.3794777814092</v>
      </c>
      <c r="BR173" s="25">
        <f>VLOOKUP(BP173,'Hazard Weighting Functions'!$B$5:$G$1205,4,FALSE)</f>
        <v>0.79400000000000004</v>
      </c>
      <c r="BS173" s="25">
        <f t="shared" si="86"/>
        <v>4261.6993053584392</v>
      </c>
      <c r="BT173" s="25">
        <f t="shared" si="87"/>
        <v>19845.384032656941</v>
      </c>
    </row>
    <row r="174" spans="2:72">
      <c r="B174" s="25">
        <v>625</v>
      </c>
      <c r="C174" s="36">
        <v>64.980490593883474</v>
      </c>
      <c r="E174" s="25">
        <v>625</v>
      </c>
      <c r="F174" s="36"/>
      <c r="H174" s="25">
        <v>625</v>
      </c>
      <c r="I174" s="36"/>
      <c r="K174" s="25">
        <v>1725</v>
      </c>
      <c r="L174" s="36"/>
      <c r="N174" s="25">
        <v>875</v>
      </c>
      <c r="O174" s="36">
        <v>214.28904284605227</v>
      </c>
      <c r="Q174" s="20">
        <v>755</v>
      </c>
      <c r="R174" s="36">
        <v>4737.698850134454</v>
      </c>
      <c r="V174" s="25">
        <f t="shared" si="72"/>
        <v>625</v>
      </c>
      <c r="W174" s="25">
        <f t="shared" si="72"/>
        <v>64.980490593883474</v>
      </c>
      <c r="Y174" s="25">
        <f t="shared" si="73"/>
        <v>625</v>
      </c>
      <c r="Z174" s="25">
        <f t="shared" si="73"/>
        <v>64.980490593883474</v>
      </c>
      <c r="AA174" s="25">
        <f>VLOOKUP(Y174,'Hazard Weighting Functions'!$B$5:$G$1205,2,FALSE)</f>
        <v>0</v>
      </c>
      <c r="AB174" s="25">
        <f t="shared" si="74"/>
        <v>0</v>
      </c>
      <c r="AC174" s="25">
        <f t="shared" si="75"/>
        <v>0</v>
      </c>
      <c r="AE174" s="25">
        <f>VLOOKUP(Y174,'Hazard Weighting Functions'!$B$5:$G$1205,3,FALSE)</f>
        <v>1E-3</v>
      </c>
      <c r="AF174" s="25">
        <f t="shared" si="76"/>
        <v>6.4980490593883472E-2</v>
      </c>
      <c r="AG174" s="25">
        <f t="shared" si="77"/>
        <v>0.31231250591282228</v>
      </c>
      <c r="AH174" s="25">
        <f>VLOOKUP(Y174,'Hazard Weighting Functions'!$B$5:$G$1205,5,FALSE)</f>
        <v>0.32100000000000001</v>
      </c>
      <c r="AI174" s="25">
        <f t="shared" si="78"/>
        <v>20.858737480636595</v>
      </c>
      <c r="AJ174" s="25">
        <f t="shared" si="79"/>
        <v>91.860082750041585</v>
      </c>
      <c r="AM174" s="25">
        <f t="shared" si="65"/>
        <v>312.31250591282225</v>
      </c>
      <c r="BF174" s="20">
        <f t="shared" ref="BF174:BG179" si="88">H264</f>
        <v>1075</v>
      </c>
      <c r="BG174" s="20">
        <f t="shared" si="88"/>
        <v>0</v>
      </c>
      <c r="BH174" s="25">
        <f>VLOOKUP(BF174,'Hazard Weighting Functions'!$B$5:$G$1205,4,FALSE)</f>
        <v>0.2</v>
      </c>
      <c r="BI174" s="25">
        <f t="shared" si="83"/>
        <v>0</v>
      </c>
      <c r="BJ174" s="25">
        <f t="shared" si="84"/>
        <v>0</v>
      </c>
      <c r="BK174" s="1">
        <f t="shared" si="70"/>
        <v>875</v>
      </c>
      <c r="BL174" s="20">
        <f t="shared" si="70"/>
        <v>214.28904284605227</v>
      </c>
      <c r="BM174" s="25">
        <f>VLOOKUP(BK174,'Hazard Weighting Functions'!$B$5:$G$1205,4,FALSE)</f>
        <v>0.44700000000000001</v>
      </c>
      <c r="BN174" s="25">
        <f t="shared" si="85"/>
        <v>95.787202152185372</v>
      </c>
      <c r="BO174" s="25">
        <f t="shared" si="67"/>
        <v>447.55026936772856</v>
      </c>
      <c r="BP174" s="20">
        <f t="shared" si="71"/>
        <v>755</v>
      </c>
      <c r="BQ174" s="20">
        <f t="shared" si="71"/>
        <v>4737.698850134454</v>
      </c>
      <c r="BR174" s="25">
        <f>VLOOKUP(BP174,'Hazard Weighting Functions'!$B$5:$G$1205,4,FALSE)</f>
        <v>0.77600000000000002</v>
      </c>
      <c r="BS174" s="25">
        <f t="shared" si="86"/>
        <v>3676.4543077043363</v>
      </c>
      <c r="BT174" s="25">
        <f t="shared" si="87"/>
        <v>17013.341844480474</v>
      </c>
    </row>
    <row r="175" spans="2:72">
      <c r="B175" s="25">
        <v>630</v>
      </c>
      <c r="C175" s="36">
        <v>59.944511771245438</v>
      </c>
      <c r="E175" s="25">
        <v>630</v>
      </c>
      <c r="F175" s="36"/>
      <c r="H175" s="25">
        <v>630</v>
      </c>
      <c r="I175" s="36"/>
      <c r="K175" s="25">
        <v>1730</v>
      </c>
      <c r="L175" s="36"/>
      <c r="N175" s="25">
        <v>880</v>
      </c>
      <c r="O175" s="36">
        <v>190.46431486248525</v>
      </c>
      <c r="Q175" s="20">
        <v>760</v>
      </c>
      <c r="R175" s="36">
        <v>4122.3747431987531</v>
      </c>
      <c r="V175" s="25">
        <f t="shared" si="72"/>
        <v>630</v>
      </c>
      <c r="W175" s="25">
        <f t="shared" si="72"/>
        <v>59.944511771245438</v>
      </c>
      <c r="Y175" s="25">
        <f t="shared" si="73"/>
        <v>630</v>
      </c>
      <c r="Z175" s="25">
        <f t="shared" si="73"/>
        <v>59.944511771245438</v>
      </c>
      <c r="AA175" s="25">
        <f>VLOOKUP(Y175,'Hazard Weighting Functions'!$B$5:$G$1205,2,FALSE)</f>
        <v>0</v>
      </c>
      <c r="AB175" s="25">
        <f t="shared" si="74"/>
        <v>0</v>
      </c>
      <c r="AC175" s="25">
        <f t="shared" si="75"/>
        <v>0</v>
      </c>
      <c r="AE175" s="25">
        <f>VLOOKUP(Y175,'Hazard Weighting Functions'!$B$5:$G$1205,3,FALSE)</f>
        <v>1E-3</v>
      </c>
      <c r="AF175" s="25">
        <f t="shared" si="76"/>
        <v>5.9944511771245441E-2</v>
      </c>
      <c r="AG175" s="25">
        <f t="shared" si="77"/>
        <v>0.28711163673571594</v>
      </c>
      <c r="AH175" s="25">
        <f>VLOOKUP(Y175,'Hazard Weighting Functions'!$B$5:$G$1205,5,FALSE)</f>
        <v>0.26500000000000001</v>
      </c>
      <c r="AI175" s="25">
        <f t="shared" si="78"/>
        <v>15.885295619380042</v>
      </c>
      <c r="AJ175" s="25">
        <f t="shared" si="79"/>
        <v>69.496566584199812</v>
      </c>
      <c r="AM175" s="25">
        <f t="shared" si="65"/>
        <v>287.11163673571593</v>
      </c>
      <c r="BF175" s="20">
        <f t="shared" si="88"/>
        <v>1080</v>
      </c>
      <c r="BG175" s="20">
        <f t="shared" si="88"/>
        <v>0</v>
      </c>
      <c r="BH175" s="25">
        <f>VLOOKUP(BF175,'Hazard Weighting Functions'!$B$5:$G$1205,4,FALSE)</f>
        <v>0.2</v>
      </c>
      <c r="BI175" s="25">
        <f t="shared" si="83"/>
        <v>0</v>
      </c>
      <c r="BJ175" s="25">
        <f t="shared" si="84"/>
        <v>0</v>
      </c>
      <c r="BK175" s="1">
        <f t="shared" si="70"/>
        <v>880</v>
      </c>
      <c r="BL175" s="20">
        <f t="shared" si="70"/>
        <v>190.46431486248525</v>
      </c>
      <c r="BM175" s="25">
        <f>VLOOKUP(BK175,'Hazard Weighting Functions'!$B$5:$G$1205,4,FALSE)</f>
        <v>0.437</v>
      </c>
      <c r="BN175" s="25">
        <f t="shared" si="85"/>
        <v>83.232905594906057</v>
      </c>
      <c r="BO175" s="25">
        <f t="shared" si="67"/>
        <v>385.3466557080294</v>
      </c>
      <c r="BP175" s="20">
        <f t="shared" si="71"/>
        <v>760</v>
      </c>
      <c r="BQ175" s="20">
        <f t="shared" si="71"/>
        <v>4122.3747431987531</v>
      </c>
      <c r="BR175" s="25">
        <f>VLOOKUP(BP175,'Hazard Weighting Functions'!$B$5:$G$1205,4,FALSE)</f>
        <v>0.75900000000000001</v>
      </c>
      <c r="BS175" s="25">
        <f t="shared" si="86"/>
        <v>3128.8824300878537</v>
      </c>
      <c r="BT175" s="25">
        <f t="shared" si="87"/>
        <v>14578.730371905349</v>
      </c>
    </row>
    <row r="176" spans="2:72">
      <c r="B176" s="25">
        <v>635</v>
      </c>
      <c r="C176" s="36">
        <v>54.900142923040939</v>
      </c>
      <c r="E176" s="25">
        <v>635</v>
      </c>
      <c r="F176" s="36"/>
      <c r="H176" s="25">
        <v>635</v>
      </c>
      <c r="I176" s="36"/>
      <c r="K176" s="25">
        <v>1735</v>
      </c>
      <c r="L176" s="36"/>
      <c r="N176" s="25">
        <v>885</v>
      </c>
      <c r="O176" s="36">
        <v>166.05563627237873</v>
      </c>
      <c r="Q176" s="20">
        <v>765</v>
      </c>
      <c r="R176" s="36">
        <v>3647.2465839059196</v>
      </c>
      <c r="V176" s="25">
        <f t="shared" si="72"/>
        <v>635</v>
      </c>
      <c r="W176" s="25">
        <f t="shared" si="72"/>
        <v>54.900142923040939</v>
      </c>
      <c r="Y176" s="25">
        <f t="shared" si="73"/>
        <v>635</v>
      </c>
      <c r="Z176" s="25">
        <f t="shared" si="73"/>
        <v>54.900142923040939</v>
      </c>
      <c r="AA176" s="25">
        <f>VLOOKUP(Y176,'Hazard Weighting Functions'!$B$5:$G$1205,2,FALSE)</f>
        <v>0</v>
      </c>
      <c r="AB176" s="25">
        <f t="shared" si="74"/>
        <v>0</v>
      </c>
      <c r="AC176" s="25">
        <f t="shared" si="75"/>
        <v>0</v>
      </c>
      <c r="AE176" s="25">
        <f>VLOOKUP(Y176,'Hazard Weighting Functions'!$B$5:$G$1205,3,FALSE)</f>
        <v>1E-3</v>
      </c>
      <c r="AF176" s="25">
        <f t="shared" si="76"/>
        <v>5.4900142923040941E-2</v>
      </c>
      <c r="AG176" s="25">
        <f t="shared" si="77"/>
        <v>0.26279105418013227</v>
      </c>
      <c r="AH176" s="25">
        <f>VLOOKUP(Y176,'Hazard Weighting Functions'!$B$5:$G$1205,5,FALSE)</f>
        <v>0.217</v>
      </c>
      <c r="AI176" s="25">
        <f t="shared" si="78"/>
        <v>11.913331014299883</v>
      </c>
      <c r="AJ176" s="25">
        <f t="shared" si="79"/>
        <v>51.752949488442454</v>
      </c>
      <c r="AM176" s="25">
        <f t="shared" si="65"/>
        <v>262.79105418013228</v>
      </c>
      <c r="BF176" s="20">
        <f t="shared" si="88"/>
        <v>1085</v>
      </c>
      <c r="BG176" s="20">
        <f t="shared" si="88"/>
        <v>0</v>
      </c>
      <c r="BH176" s="25">
        <f>VLOOKUP(BF176,'Hazard Weighting Functions'!$B$5:$G$1205,4,FALSE)</f>
        <v>0.2</v>
      </c>
      <c r="BI176" s="25">
        <f t="shared" si="83"/>
        <v>0</v>
      </c>
      <c r="BJ176" s="25">
        <f t="shared" si="84"/>
        <v>0</v>
      </c>
      <c r="BK176" s="1">
        <f t="shared" si="70"/>
        <v>885</v>
      </c>
      <c r="BL176" s="20">
        <f t="shared" si="70"/>
        <v>166.05563627237873</v>
      </c>
      <c r="BM176" s="25">
        <f>VLOOKUP(BK176,'Hazard Weighting Functions'!$B$5:$G$1205,4,FALSE)</f>
        <v>0.42699999999999999</v>
      </c>
      <c r="BN176" s="25">
        <f t="shared" si="85"/>
        <v>70.905756688305715</v>
      </c>
      <c r="BO176" s="25">
        <f t="shared" si="67"/>
        <v>330.08673846041904</v>
      </c>
      <c r="BP176" s="20">
        <f t="shared" si="71"/>
        <v>765</v>
      </c>
      <c r="BQ176" s="20">
        <f t="shared" si="71"/>
        <v>3647.2465839059196</v>
      </c>
      <c r="BR176" s="25">
        <f>VLOOKUP(BP176,'Hazard Weighting Functions'!$B$5:$G$1205,4,FALSE)</f>
        <v>0.74099999999999999</v>
      </c>
      <c r="BS176" s="25">
        <f t="shared" si="86"/>
        <v>2702.6097186742863</v>
      </c>
      <c r="BT176" s="25">
        <f t="shared" si="87"/>
        <v>12533.199665819664</v>
      </c>
    </row>
    <row r="177" spans="2:72">
      <c r="B177" s="25">
        <v>640</v>
      </c>
      <c r="C177" s="36">
        <v>50.21627874901197</v>
      </c>
      <c r="E177" s="25">
        <v>640</v>
      </c>
      <c r="F177" s="36"/>
      <c r="H177" s="25">
        <v>640</v>
      </c>
      <c r="I177" s="36"/>
      <c r="K177" s="25">
        <v>1740</v>
      </c>
      <c r="L177" s="36"/>
      <c r="N177" s="25">
        <v>890</v>
      </c>
      <c r="O177" s="36">
        <v>146.59217912676712</v>
      </c>
      <c r="Q177" s="20">
        <v>770</v>
      </c>
      <c r="R177" s="36">
        <v>3191.5333531126785</v>
      </c>
      <c r="V177" s="25">
        <f t="shared" si="72"/>
        <v>640</v>
      </c>
      <c r="W177" s="25">
        <f t="shared" si="72"/>
        <v>50.21627874901197</v>
      </c>
      <c r="Y177" s="25">
        <f t="shared" si="73"/>
        <v>640</v>
      </c>
      <c r="Z177" s="25">
        <f t="shared" si="73"/>
        <v>50.21627874901197</v>
      </c>
      <c r="AA177" s="25">
        <f>VLOOKUP(Y177,'Hazard Weighting Functions'!$B$5:$G$1205,2,FALSE)</f>
        <v>0</v>
      </c>
      <c r="AB177" s="25">
        <f t="shared" si="74"/>
        <v>0</v>
      </c>
      <c r="AC177" s="25">
        <f t="shared" si="75"/>
        <v>0</v>
      </c>
      <c r="AE177" s="25">
        <f>VLOOKUP(Y177,'Hazard Weighting Functions'!$B$5:$G$1205,3,FALSE)</f>
        <v>1E-3</v>
      </c>
      <c r="AF177" s="25">
        <f t="shared" si="76"/>
        <v>5.0216278749011974E-2</v>
      </c>
      <c r="AG177" s="25">
        <f t="shared" si="77"/>
        <v>0.23995362749903776</v>
      </c>
      <c r="AH177" s="25">
        <f>VLOOKUP(Y177,'Hazard Weighting Functions'!$B$5:$G$1205,5,FALSE)</f>
        <v>0.17499999999999999</v>
      </c>
      <c r="AI177" s="25">
        <f t="shared" si="78"/>
        <v>8.7878487810770949</v>
      </c>
      <c r="AJ177" s="25">
        <f t="shared" si="79"/>
        <v>37.781488965276118</v>
      </c>
      <c r="AM177" s="25">
        <f t="shared" si="65"/>
        <v>239.95362749903776</v>
      </c>
      <c r="BF177" s="20">
        <f t="shared" si="88"/>
        <v>1090</v>
      </c>
      <c r="BG177" s="20">
        <f t="shared" si="88"/>
        <v>0</v>
      </c>
      <c r="BH177" s="25">
        <f>VLOOKUP(BF177,'Hazard Weighting Functions'!$B$5:$G$1205,4,FALSE)</f>
        <v>0.2</v>
      </c>
      <c r="BI177" s="25">
        <f t="shared" si="83"/>
        <v>0</v>
      </c>
      <c r="BJ177" s="25">
        <f t="shared" si="84"/>
        <v>0</v>
      </c>
      <c r="BK177" s="1">
        <f t="shared" si="70"/>
        <v>890</v>
      </c>
      <c r="BL177" s="20">
        <f t="shared" si="70"/>
        <v>146.59217912676712</v>
      </c>
      <c r="BM177" s="25">
        <f>VLOOKUP(BK177,'Hazard Weighting Functions'!$B$5:$G$1205,4,FALSE)</f>
        <v>0.41699999999999998</v>
      </c>
      <c r="BN177" s="25">
        <f t="shared" si="85"/>
        <v>61.128938695861883</v>
      </c>
      <c r="BO177" s="25">
        <f t="shared" si="67"/>
        <v>285.80713791390161</v>
      </c>
      <c r="BP177" s="20">
        <f t="shared" si="71"/>
        <v>770</v>
      </c>
      <c r="BQ177" s="20">
        <f t="shared" si="71"/>
        <v>3191.5333531126785</v>
      </c>
      <c r="BR177" s="25">
        <f>VLOOKUP(BP177,'Hazard Weighting Functions'!$B$5:$G$1205,4,FALSE)</f>
        <v>0.72399999999999998</v>
      </c>
      <c r="BS177" s="25">
        <f t="shared" si="86"/>
        <v>2310.6701476535791</v>
      </c>
      <c r="BT177" s="25">
        <f t="shared" si="87"/>
        <v>10729.220725901636</v>
      </c>
    </row>
    <row r="178" spans="2:72">
      <c r="B178" s="25">
        <v>645</v>
      </c>
      <c r="C178" s="36">
        <v>45.765172250603129</v>
      </c>
      <c r="E178" s="25">
        <v>645</v>
      </c>
      <c r="F178" s="36"/>
      <c r="H178" s="25">
        <v>645</v>
      </c>
      <c r="I178" s="36"/>
      <c r="K178" s="25">
        <v>1745</v>
      </c>
      <c r="L178" s="36"/>
      <c r="N178" s="25">
        <v>895</v>
      </c>
      <c r="O178" s="36">
        <v>130.69758346363332</v>
      </c>
      <c r="Q178" s="20">
        <v>775</v>
      </c>
      <c r="R178" s="36">
        <v>2798.0482241625364</v>
      </c>
      <c r="V178" s="25">
        <f t="shared" si="72"/>
        <v>645</v>
      </c>
      <c r="W178" s="25">
        <f t="shared" si="72"/>
        <v>45.765172250603129</v>
      </c>
      <c r="Y178" s="25">
        <f t="shared" si="73"/>
        <v>645</v>
      </c>
      <c r="Z178" s="25">
        <f t="shared" si="73"/>
        <v>45.765172250603129</v>
      </c>
      <c r="AA178" s="25">
        <f>VLOOKUP(Y178,'Hazard Weighting Functions'!$B$5:$G$1205,2,FALSE)</f>
        <v>0</v>
      </c>
      <c r="AB178" s="25">
        <f t="shared" si="74"/>
        <v>0</v>
      </c>
      <c r="AC178" s="25">
        <f t="shared" si="75"/>
        <v>0</v>
      </c>
      <c r="AE178" s="25">
        <f>VLOOKUP(Y178,'Hazard Weighting Functions'!$B$5:$G$1205,3,FALSE)</f>
        <v>1E-3</v>
      </c>
      <c r="AF178" s="25">
        <f t="shared" si="76"/>
        <v>4.5765172250603128E-2</v>
      </c>
      <c r="AG178" s="25">
        <f t="shared" si="77"/>
        <v>0.21809267692434586</v>
      </c>
      <c r="AH178" s="25">
        <f>VLOOKUP(Y178,'Hazard Weighting Functions'!$B$5:$G$1205,5,FALSE)</f>
        <v>0.13819999999999999</v>
      </c>
      <c r="AI178" s="25">
        <f t="shared" si="78"/>
        <v>6.3247468050333522</v>
      </c>
      <c r="AJ178" s="25">
        <f t="shared" si="79"/>
        <v>26.90559986645205</v>
      </c>
      <c r="AM178" s="25">
        <f t="shared" si="65"/>
        <v>218.09267692434588</v>
      </c>
      <c r="BF178" s="20">
        <f t="shared" si="88"/>
        <v>1095</v>
      </c>
      <c r="BG178" s="20">
        <f t="shared" si="88"/>
        <v>0</v>
      </c>
      <c r="BH178" s="25">
        <f>VLOOKUP(BF178,'Hazard Weighting Functions'!$B$5:$G$1205,4,FALSE)</f>
        <v>0.2</v>
      </c>
      <c r="BI178" s="25">
        <f t="shared" si="83"/>
        <v>0</v>
      </c>
      <c r="BJ178" s="25">
        <f t="shared" si="84"/>
        <v>0</v>
      </c>
      <c r="BK178" s="1">
        <f t="shared" si="70"/>
        <v>895</v>
      </c>
      <c r="BL178" s="20">
        <f t="shared" si="70"/>
        <v>130.69758346363332</v>
      </c>
      <c r="BM178" s="25">
        <f>VLOOKUP(BK178,'Hazard Weighting Functions'!$B$5:$G$1205,4,FALSE)</f>
        <v>0.40699999999999997</v>
      </c>
      <c r="BN178" s="25">
        <f t="shared" si="85"/>
        <v>53.193916469698756</v>
      </c>
      <c r="BO178" s="25">
        <f t="shared" si="67"/>
        <v>248.96071859478047</v>
      </c>
      <c r="BP178" s="20">
        <f t="shared" si="71"/>
        <v>775</v>
      </c>
      <c r="BQ178" s="20">
        <f t="shared" si="71"/>
        <v>2798.0482241625364</v>
      </c>
      <c r="BR178" s="25">
        <f>VLOOKUP(BP178,'Hazard Weighting Functions'!$B$5:$G$1205,4,FALSE)</f>
        <v>0.70799999999999996</v>
      </c>
      <c r="BS178" s="25">
        <f t="shared" si="86"/>
        <v>1981.0181427070756</v>
      </c>
      <c r="BT178" s="25">
        <f t="shared" si="87"/>
        <v>9205.6147078187223</v>
      </c>
    </row>
    <row r="179" spans="2:72">
      <c r="B179" s="25">
        <v>650</v>
      </c>
      <c r="C179" s="36">
        <v>41.471898519135216</v>
      </c>
      <c r="E179" s="25">
        <v>650</v>
      </c>
      <c r="F179" s="36"/>
      <c r="H179" s="25">
        <v>650</v>
      </c>
      <c r="I179" s="36"/>
      <c r="K179" s="25">
        <v>1750</v>
      </c>
      <c r="L179" s="36"/>
      <c r="N179" s="25">
        <v>900</v>
      </c>
      <c r="O179" s="36">
        <v>116.55872102566192</v>
      </c>
      <c r="Q179" s="20">
        <v>780</v>
      </c>
      <c r="R179" s="36">
        <v>2458.42159020291</v>
      </c>
      <c r="V179" s="25">
        <f t="shared" si="72"/>
        <v>650</v>
      </c>
      <c r="W179" s="25">
        <f t="shared" si="72"/>
        <v>41.471898519135216</v>
      </c>
      <c r="Y179" s="25">
        <f t="shared" si="73"/>
        <v>650</v>
      </c>
      <c r="Z179" s="25">
        <f t="shared" si="73"/>
        <v>41.471898519135216</v>
      </c>
      <c r="AA179" s="25">
        <f>VLOOKUP(Y179,'Hazard Weighting Functions'!$B$5:$G$1205,2,FALSE)</f>
        <v>0</v>
      </c>
      <c r="AB179" s="25">
        <f t="shared" si="74"/>
        <v>0</v>
      </c>
      <c r="AC179" s="25">
        <f t="shared" si="75"/>
        <v>0</v>
      </c>
      <c r="AE179" s="25">
        <f>VLOOKUP(Y179,'Hazard Weighting Functions'!$B$5:$G$1205,3,FALSE)</f>
        <v>1E-3</v>
      </c>
      <c r="AF179" s="25">
        <f t="shared" si="76"/>
        <v>4.1471898519135214E-2</v>
      </c>
      <c r="AG179" s="25">
        <f t="shared" si="77"/>
        <v>0.19747073083781291</v>
      </c>
      <c r="AH179" s="25">
        <f>VLOOKUP(Y179,'Hazard Weighting Functions'!$B$5:$G$1205,5,FALSE)</f>
        <v>0.107</v>
      </c>
      <c r="AI179" s="25">
        <f t="shared" si="78"/>
        <v>4.4374931415474679</v>
      </c>
      <c r="AJ179" s="25">
        <f t="shared" si="79"/>
        <v>18.747077192330618</v>
      </c>
      <c r="AM179" s="25">
        <f t="shared" si="65"/>
        <v>197.47073083781291</v>
      </c>
      <c r="BF179" s="20">
        <f t="shared" si="88"/>
        <v>1100</v>
      </c>
      <c r="BG179" s="20">
        <f t="shared" si="88"/>
        <v>0</v>
      </c>
      <c r="BH179" s="25">
        <f>VLOOKUP(BF179,'Hazard Weighting Functions'!$B$5:$G$1205,4,FALSE)</f>
        <v>0.2</v>
      </c>
      <c r="BI179" s="25">
        <f t="shared" si="83"/>
        <v>0</v>
      </c>
      <c r="BK179" s="1">
        <f t="shared" si="70"/>
        <v>900</v>
      </c>
      <c r="BL179" s="20">
        <f t="shared" si="70"/>
        <v>116.55872102566192</v>
      </c>
      <c r="BM179" s="25">
        <f>VLOOKUP(BK179,'Hazard Weighting Functions'!$B$5:$G$1205,4,FALSE)</f>
        <v>0.39800000000000002</v>
      </c>
      <c r="BN179" s="25">
        <f t="shared" si="85"/>
        <v>46.390370968213446</v>
      </c>
      <c r="BO179" s="25">
        <f t="shared" si="67"/>
        <v>217.46941534262936</v>
      </c>
      <c r="BP179" s="20">
        <f t="shared" si="71"/>
        <v>780</v>
      </c>
      <c r="BQ179" s="20">
        <f t="shared" si="71"/>
        <v>2458.42159020291</v>
      </c>
      <c r="BR179" s="25">
        <f>VLOOKUP(BP179,'Hazard Weighting Functions'!$B$5:$G$1205,4,FALSE)</f>
        <v>0.69199999999999995</v>
      </c>
      <c r="BS179" s="25">
        <f t="shared" si="86"/>
        <v>1701.2277404204135</v>
      </c>
      <c r="BT179" s="25">
        <f t="shared" si="87"/>
        <v>7921.0232216768281</v>
      </c>
    </row>
    <row r="180" spans="2:72">
      <c r="B180" s="25">
        <v>655</v>
      </c>
      <c r="C180" s="36">
        <v>37.51639381598995</v>
      </c>
      <c r="E180" s="25">
        <v>655</v>
      </c>
      <c r="F180" s="36"/>
      <c r="H180" s="25">
        <v>655</v>
      </c>
      <c r="I180" s="36"/>
      <c r="K180" s="25">
        <v>1755</v>
      </c>
      <c r="L180" s="36"/>
      <c r="N180" s="25">
        <v>905</v>
      </c>
      <c r="O180" s="36">
        <v>104.36348372452005</v>
      </c>
      <c r="Q180" s="20">
        <v>785</v>
      </c>
      <c r="R180" s="36">
        <v>2170.3869056957365</v>
      </c>
      <c r="V180" s="25">
        <f t="shared" si="72"/>
        <v>655</v>
      </c>
      <c r="W180" s="25">
        <f t="shared" si="72"/>
        <v>37.51639381598995</v>
      </c>
      <c r="Y180" s="25">
        <f t="shared" si="73"/>
        <v>655</v>
      </c>
      <c r="Z180" s="25">
        <f t="shared" si="73"/>
        <v>37.51639381598995</v>
      </c>
      <c r="AA180" s="25">
        <f>VLOOKUP(Y180,'Hazard Weighting Functions'!$B$5:$G$1205,2,FALSE)</f>
        <v>0</v>
      </c>
      <c r="AB180" s="25">
        <f t="shared" si="74"/>
        <v>0</v>
      </c>
      <c r="AC180" s="25">
        <f t="shared" si="75"/>
        <v>0</v>
      </c>
      <c r="AE180" s="25">
        <f>VLOOKUP(Y180,'Hazard Weighting Functions'!$B$5:$G$1205,3,FALSE)</f>
        <v>1E-3</v>
      </c>
      <c r="AF180" s="25">
        <f t="shared" si="76"/>
        <v>3.7516393815989951E-2</v>
      </c>
      <c r="AG180" s="25">
        <f t="shared" si="77"/>
        <v>0.17835659872598539</v>
      </c>
      <c r="AH180" s="25">
        <f>VLOOKUP(Y180,'Hazard Weighting Functions'!$B$5:$G$1205,5,FALSE)</f>
        <v>8.1600000000000006E-2</v>
      </c>
      <c r="AI180" s="25">
        <f t="shared" si="78"/>
        <v>3.0613377353847802</v>
      </c>
      <c r="AJ180" s="25">
        <f t="shared" si="79"/>
        <v>12.811846803808592</v>
      </c>
      <c r="AM180" s="25">
        <f t="shared" si="65"/>
        <v>178.35659872598541</v>
      </c>
      <c r="BF180" s="1"/>
      <c r="BG180" s="1"/>
      <c r="BK180" s="1">
        <f t="shared" si="70"/>
        <v>905</v>
      </c>
      <c r="BL180" s="20">
        <f t="shared" si="70"/>
        <v>104.36348372452005</v>
      </c>
      <c r="BM180" s="25">
        <f>VLOOKUP(BK180,'Hazard Weighting Functions'!$B$5:$G$1205,4,FALSE)</f>
        <v>0.38900000000000001</v>
      </c>
      <c r="BN180" s="25">
        <f t="shared" si="85"/>
        <v>40.597395168838304</v>
      </c>
      <c r="BO180" s="25">
        <f t="shared" si="67"/>
        <v>190.80352087854592</v>
      </c>
      <c r="BP180" s="20">
        <f t="shared" si="71"/>
        <v>785</v>
      </c>
      <c r="BQ180" s="20">
        <f t="shared" si="71"/>
        <v>2170.3869056957365</v>
      </c>
      <c r="BR180" s="25">
        <f>VLOOKUP(BP180,'Hazard Weighting Functions'!$B$5:$G$1205,4,FALSE)</f>
        <v>0.67600000000000005</v>
      </c>
      <c r="BS180" s="25">
        <f t="shared" si="86"/>
        <v>1467.181548250318</v>
      </c>
      <c r="BT180" s="25">
        <f t="shared" si="87"/>
        <v>6828.9381474268566</v>
      </c>
    </row>
    <row r="181" spans="2:72">
      <c r="B181" s="25">
        <v>660</v>
      </c>
      <c r="C181" s="36">
        <v>33.826245674404205</v>
      </c>
      <c r="E181" s="25">
        <v>660</v>
      </c>
      <c r="F181" s="36"/>
      <c r="H181" s="25">
        <v>660</v>
      </c>
      <c r="I181" s="36"/>
      <c r="K181" s="25">
        <v>1760</v>
      </c>
      <c r="L181" s="36"/>
      <c r="N181" s="25">
        <v>910</v>
      </c>
      <c r="O181" s="36">
        <v>94.010561006789644</v>
      </c>
      <c r="Q181" s="20">
        <v>790</v>
      </c>
      <c r="R181" s="36">
        <v>1912.8497892895984</v>
      </c>
      <c r="V181" s="25">
        <f t="shared" si="72"/>
        <v>660</v>
      </c>
      <c r="W181" s="25">
        <f t="shared" si="72"/>
        <v>33.826245674404205</v>
      </c>
      <c r="Y181" s="25">
        <f t="shared" si="73"/>
        <v>660</v>
      </c>
      <c r="Z181" s="25">
        <f t="shared" si="73"/>
        <v>33.826245674404205</v>
      </c>
      <c r="AA181" s="25">
        <f>VLOOKUP(Y181,'Hazard Weighting Functions'!$B$5:$G$1205,2,FALSE)</f>
        <v>0</v>
      </c>
      <c r="AB181" s="25">
        <f t="shared" si="74"/>
        <v>0</v>
      </c>
      <c r="AC181" s="25">
        <f t="shared" si="75"/>
        <v>0</v>
      </c>
      <c r="AE181" s="25">
        <f>VLOOKUP(Y181,'Hazard Weighting Functions'!$B$5:$G$1205,3,FALSE)</f>
        <v>1E-3</v>
      </c>
      <c r="AF181" s="25">
        <f t="shared" si="76"/>
        <v>3.3826245674404204E-2</v>
      </c>
      <c r="AG181" s="25">
        <f t="shared" si="77"/>
        <v>0.16052144636234378</v>
      </c>
      <c r="AH181" s="25">
        <f>VLOOKUP(Y181,'Hazard Weighting Functions'!$B$5:$G$1205,5,FALSE)</f>
        <v>6.0999999999999999E-2</v>
      </c>
      <c r="AI181" s="25">
        <f t="shared" si="78"/>
        <v>2.0634009861386566</v>
      </c>
      <c r="AJ181" s="25">
        <f t="shared" si="79"/>
        <v>8.544613463767579</v>
      </c>
      <c r="AM181" s="25">
        <f t="shared" si="65"/>
        <v>160.52144636234377</v>
      </c>
      <c r="BF181" s="1"/>
      <c r="BG181" s="1"/>
      <c r="BK181" s="1">
        <f t="shared" si="70"/>
        <v>910</v>
      </c>
      <c r="BL181" s="20">
        <f t="shared" si="70"/>
        <v>94.010561006789644</v>
      </c>
      <c r="BM181" s="25">
        <f>VLOOKUP(BK181,'Hazard Weighting Functions'!$B$5:$G$1205,4,FALSE)</f>
        <v>0.38</v>
      </c>
      <c r="BN181" s="25">
        <f t="shared" si="85"/>
        <v>35.724013182580066</v>
      </c>
      <c r="BO181" s="25">
        <f t="shared" si="67"/>
        <v>168.9609878071698</v>
      </c>
      <c r="BP181" s="20">
        <f t="shared" si="71"/>
        <v>790</v>
      </c>
      <c r="BQ181" s="20">
        <f t="shared" si="71"/>
        <v>1912.8497892895984</v>
      </c>
      <c r="BR181" s="25">
        <f>VLOOKUP(BP181,'Hazard Weighting Functions'!$B$5:$G$1205,4,FALSE)</f>
        <v>0.66100000000000003</v>
      </c>
      <c r="BS181" s="25">
        <f t="shared" si="86"/>
        <v>1264.3937107204247</v>
      </c>
      <c r="BT181" s="25">
        <f t="shared" si="87"/>
        <v>5864.0339064023883</v>
      </c>
    </row>
    <row r="182" spans="2:72">
      <c r="B182" s="25">
        <v>665</v>
      </c>
      <c r="C182" s="36">
        <v>30.382332870533308</v>
      </c>
      <c r="E182" s="25">
        <v>665</v>
      </c>
      <c r="F182" s="36"/>
      <c r="H182" s="25">
        <v>665</v>
      </c>
      <c r="I182" s="36"/>
      <c r="K182" s="25">
        <v>1765</v>
      </c>
      <c r="L182" s="36"/>
      <c r="N182" s="25">
        <v>915</v>
      </c>
      <c r="O182" s="36">
        <v>85.64618801152649</v>
      </c>
      <c r="Q182" s="20">
        <v>795</v>
      </c>
      <c r="R182" s="36">
        <v>1673.7149409296139</v>
      </c>
      <c r="V182" s="25">
        <f t="shared" si="72"/>
        <v>665</v>
      </c>
      <c r="W182" s="25">
        <f t="shared" si="72"/>
        <v>30.382332870533308</v>
      </c>
      <c r="Y182" s="25">
        <f t="shared" si="73"/>
        <v>665</v>
      </c>
      <c r="Z182" s="25">
        <f t="shared" si="73"/>
        <v>30.382332870533308</v>
      </c>
      <c r="AA182" s="25">
        <f>VLOOKUP(Y182,'Hazard Weighting Functions'!$B$5:$G$1205,2,FALSE)</f>
        <v>0</v>
      </c>
      <c r="AB182" s="25">
        <f t="shared" si="74"/>
        <v>0</v>
      </c>
      <c r="AC182" s="25">
        <f t="shared" si="75"/>
        <v>0</v>
      </c>
      <c r="AE182" s="25">
        <f>VLOOKUP(Y182,'Hazard Weighting Functions'!$B$5:$G$1205,3,FALSE)</f>
        <v>1E-3</v>
      </c>
      <c r="AF182" s="25">
        <f t="shared" si="76"/>
        <v>3.0382332870533307E-2</v>
      </c>
      <c r="AG182" s="25">
        <f t="shared" si="77"/>
        <v>0.14320961157505432</v>
      </c>
      <c r="AH182" s="25">
        <f>VLOOKUP(Y182,'Hazard Weighting Functions'!$B$5:$G$1205,5,FALSE)</f>
        <v>4.4580000000000002E-2</v>
      </c>
      <c r="AI182" s="25">
        <f t="shared" si="78"/>
        <v>1.3544443993683748</v>
      </c>
      <c r="AJ182" s="25">
        <f t="shared" si="79"/>
        <v>5.5382319391800117</v>
      </c>
      <c r="AM182" s="25">
        <f t="shared" si="65"/>
        <v>143.20961157505434</v>
      </c>
      <c r="BF182" s="1"/>
      <c r="BG182" s="1"/>
      <c r="BK182" s="1">
        <f t="shared" si="70"/>
        <v>915</v>
      </c>
      <c r="BL182" s="20">
        <f t="shared" si="70"/>
        <v>85.64618801152649</v>
      </c>
      <c r="BM182" s="25">
        <f>VLOOKUP(BK182,'Hazard Weighting Functions'!$B$5:$G$1205,4,FALSE)</f>
        <v>0.372</v>
      </c>
      <c r="BN182" s="25">
        <f t="shared" si="85"/>
        <v>31.860381940287855</v>
      </c>
      <c r="BO182" s="25">
        <f t="shared" si="67"/>
        <v>149.9095123555648</v>
      </c>
      <c r="BP182" s="20">
        <f t="shared" si="71"/>
        <v>795</v>
      </c>
      <c r="BQ182" s="20">
        <f t="shared" si="71"/>
        <v>1673.7149409296139</v>
      </c>
      <c r="BR182" s="25">
        <f>VLOOKUP(BP182,'Hazard Weighting Functions'!$B$5:$G$1205,4,FALSE)</f>
        <v>0.64600000000000002</v>
      </c>
      <c r="BS182" s="25">
        <f t="shared" si="86"/>
        <v>1081.2198518405307</v>
      </c>
      <c r="BT182" s="25">
        <f t="shared" si="87"/>
        <v>5059.9987010336508</v>
      </c>
    </row>
    <row r="183" spans="2:72">
      <c r="B183" s="25">
        <v>670</v>
      </c>
      <c r="C183" s="36">
        <v>26.901511759488425</v>
      </c>
      <c r="E183" s="25">
        <v>670</v>
      </c>
      <c r="F183" s="36"/>
      <c r="H183" s="25">
        <v>670</v>
      </c>
      <c r="I183" s="36"/>
      <c r="K183" s="25">
        <v>1770</v>
      </c>
      <c r="L183" s="36"/>
      <c r="N183" s="25">
        <v>920</v>
      </c>
      <c r="O183" s="36">
        <v>77.419898076964358</v>
      </c>
      <c r="Q183" s="20">
        <v>800</v>
      </c>
      <c r="R183" s="36">
        <v>1494.1040072471151</v>
      </c>
      <c r="V183" s="25">
        <f t="shared" si="72"/>
        <v>670</v>
      </c>
      <c r="W183" s="25">
        <f t="shared" si="72"/>
        <v>26.901511759488425</v>
      </c>
      <c r="Y183" s="25">
        <f t="shared" si="73"/>
        <v>670</v>
      </c>
      <c r="Z183" s="25">
        <f t="shared" si="73"/>
        <v>26.901511759488425</v>
      </c>
      <c r="AA183" s="25">
        <f>VLOOKUP(Y183,'Hazard Weighting Functions'!$B$5:$G$1205,2,FALSE)</f>
        <v>0</v>
      </c>
      <c r="AB183" s="25">
        <f t="shared" si="74"/>
        <v>0</v>
      </c>
      <c r="AC183" s="25">
        <f t="shared" si="75"/>
        <v>0</v>
      </c>
      <c r="AE183" s="25">
        <f>VLOOKUP(Y183,'Hazard Weighting Functions'!$B$5:$G$1205,3,FALSE)</f>
        <v>1E-3</v>
      </c>
      <c r="AF183" s="25">
        <f t="shared" si="76"/>
        <v>2.6901511759488426E-2</v>
      </c>
      <c r="AG183" s="25">
        <f t="shared" si="77"/>
        <v>0.12750112262330054</v>
      </c>
      <c r="AH183" s="25">
        <f>VLOOKUP(Y183,'Hazard Weighting Functions'!$B$5:$G$1205,5,FALSE)</f>
        <v>3.2000000000000001E-2</v>
      </c>
      <c r="AI183" s="25">
        <f t="shared" si="78"/>
        <v>0.86084837630362965</v>
      </c>
      <c r="AJ183" s="25">
        <f t="shared" si="79"/>
        <v>3.5498593035693182</v>
      </c>
      <c r="AM183" s="25">
        <f t="shared" si="65"/>
        <v>127.50112262330055</v>
      </c>
      <c r="BF183" s="1"/>
      <c r="BG183" s="1"/>
      <c r="BK183" s="1">
        <f t="shared" si="70"/>
        <v>920</v>
      </c>
      <c r="BL183" s="20">
        <f t="shared" si="70"/>
        <v>77.419898076964358</v>
      </c>
      <c r="BM183" s="25">
        <f>VLOOKUP(BK183,'Hazard Weighting Functions'!$B$5:$G$1205,4,FALSE)</f>
        <v>0.36299999999999999</v>
      </c>
      <c r="BN183" s="25">
        <f t="shared" si="85"/>
        <v>28.103423001938062</v>
      </c>
      <c r="BO183" s="25">
        <f t="shared" si="67"/>
        <v>132.11131950166279</v>
      </c>
      <c r="BP183" s="20">
        <f t="shared" si="71"/>
        <v>800</v>
      </c>
      <c r="BQ183" s="20">
        <f t="shared" si="71"/>
        <v>1494.1040072471151</v>
      </c>
      <c r="BR183" s="25">
        <f>VLOOKUP(BP183,'Hazard Weighting Functions'!$B$5:$G$1205,4,FALSE)</f>
        <v>0.63100000000000001</v>
      </c>
      <c r="BS183" s="25">
        <f t="shared" si="86"/>
        <v>942.7796285729296</v>
      </c>
      <c r="BT183" s="25">
        <f t="shared" si="87"/>
        <v>4372.8541288690903</v>
      </c>
    </row>
    <row r="184" spans="2:72">
      <c r="B184" s="25">
        <v>675</v>
      </c>
      <c r="C184" s="36">
        <v>24.098937289831792</v>
      </c>
      <c r="E184" s="25">
        <v>675</v>
      </c>
      <c r="F184" s="36"/>
      <c r="H184" s="25">
        <v>675</v>
      </c>
      <c r="I184" s="36"/>
      <c r="K184" s="25">
        <v>1775</v>
      </c>
      <c r="L184" s="36"/>
      <c r="N184" s="25">
        <v>925</v>
      </c>
      <c r="O184" s="36">
        <v>69.693252954160741</v>
      </c>
      <c r="Q184" s="20">
        <v>805</v>
      </c>
      <c r="R184" s="36">
        <v>1306.9076547402053</v>
      </c>
      <c r="V184" s="25">
        <f t="shared" si="72"/>
        <v>675</v>
      </c>
      <c r="W184" s="25">
        <f t="shared" si="72"/>
        <v>24.098937289831792</v>
      </c>
      <c r="Y184" s="25">
        <f t="shared" si="73"/>
        <v>675</v>
      </c>
      <c r="Z184" s="25">
        <f t="shared" si="73"/>
        <v>24.098937289831792</v>
      </c>
      <c r="AA184" s="25">
        <f>VLOOKUP(Y184,'Hazard Weighting Functions'!$B$5:$G$1205,2,FALSE)</f>
        <v>0</v>
      </c>
      <c r="AB184" s="25">
        <f t="shared" si="74"/>
        <v>0</v>
      </c>
      <c r="AC184" s="25">
        <f t="shared" si="75"/>
        <v>0</v>
      </c>
      <c r="AE184" s="25">
        <f>VLOOKUP(Y184,'Hazard Weighting Functions'!$B$5:$G$1205,3,FALSE)</f>
        <v>1E-3</v>
      </c>
      <c r="AF184" s="25">
        <f t="shared" si="76"/>
        <v>2.4098937289831791E-2</v>
      </c>
      <c r="AG184" s="25">
        <f t="shared" si="77"/>
        <v>0.11398460065802082</v>
      </c>
      <c r="AH184" s="25">
        <f>VLOOKUP(Y184,'Hazard Weighting Functions'!$B$5:$G$1205,5,FALSE)</f>
        <v>2.3199999999999998E-2</v>
      </c>
      <c r="AI184" s="25">
        <f t="shared" si="78"/>
        <v>0.55909534512409753</v>
      </c>
      <c r="AJ184" s="25">
        <f t="shared" si="79"/>
        <v>2.3112717391787467</v>
      </c>
      <c r="AM184" s="25">
        <f t="shared" ref="AM184:AM247" si="89">0.5*(V185-V184)*(W184+W185)</f>
        <v>113.98460065802081</v>
      </c>
      <c r="BF184" s="1"/>
      <c r="BG184" s="1"/>
      <c r="BK184" s="1">
        <f t="shared" si="70"/>
        <v>925</v>
      </c>
      <c r="BL184" s="20">
        <f t="shared" si="70"/>
        <v>69.693252954160741</v>
      </c>
      <c r="BM184" s="25">
        <f>VLOOKUP(BK184,'Hazard Weighting Functions'!$B$5:$G$1205,4,FALSE)</f>
        <v>0.35499999999999998</v>
      </c>
      <c r="BN184" s="25">
        <f t="shared" si="85"/>
        <v>24.741104798727061</v>
      </c>
      <c r="BO184" s="25">
        <f t="shared" si="67"/>
        <v>116.29054734736795</v>
      </c>
      <c r="BP184" s="20">
        <f t="shared" si="71"/>
        <v>805</v>
      </c>
      <c r="BQ184" s="20">
        <f t="shared" si="71"/>
        <v>1306.9076547402053</v>
      </c>
      <c r="BR184" s="25">
        <f>VLOOKUP(BP184,'Hazard Weighting Functions'!$B$5:$G$1205,4,FALSE)</f>
        <v>0.61699999999999999</v>
      </c>
      <c r="BS184" s="25">
        <f t="shared" si="86"/>
        <v>806.36202297470663</v>
      </c>
      <c r="BT184" s="25">
        <f t="shared" si="87"/>
        <v>3750.8484541816965</v>
      </c>
    </row>
    <row r="185" spans="2:72">
      <c r="B185" s="25">
        <v>680</v>
      </c>
      <c r="C185" s="36">
        <v>21.494902973376533</v>
      </c>
      <c r="E185" s="25">
        <v>680</v>
      </c>
      <c r="F185" s="36"/>
      <c r="H185" s="25">
        <v>680</v>
      </c>
      <c r="I185" s="36"/>
      <c r="K185" s="25">
        <v>1780</v>
      </c>
      <c r="L185" s="36"/>
      <c r="N185" s="25">
        <v>930</v>
      </c>
      <c r="O185" s="36">
        <v>62.752490317637218</v>
      </c>
      <c r="Q185" s="20">
        <v>810</v>
      </c>
      <c r="R185" s="36">
        <v>1150.8745583714297</v>
      </c>
      <c r="V185" s="25">
        <f t="shared" si="72"/>
        <v>680</v>
      </c>
      <c r="W185" s="25">
        <f t="shared" si="72"/>
        <v>21.494902973376533</v>
      </c>
      <c r="Y185" s="25">
        <f t="shared" si="73"/>
        <v>680</v>
      </c>
      <c r="Z185" s="25">
        <f t="shared" si="73"/>
        <v>21.494902973376533</v>
      </c>
      <c r="AA185" s="25">
        <f>VLOOKUP(Y185,'Hazard Weighting Functions'!$B$5:$G$1205,2,FALSE)</f>
        <v>0</v>
      </c>
      <c r="AB185" s="25">
        <f t="shared" si="74"/>
        <v>0</v>
      </c>
      <c r="AC185" s="25">
        <f t="shared" si="75"/>
        <v>0</v>
      </c>
      <c r="AE185" s="25">
        <f>VLOOKUP(Y185,'Hazard Weighting Functions'!$B$5:$G$1205,3,FALSE)</f>
        <v>1E-3</v>
      </c>
      <c r="AF185" s="25">
        <f t="shared" si="76"/>
        <v>2.1494902973376532E-2</v>
      </c>
      <c r="AG185" s="25">
        <f t="shared" si="77"/>
        <v>0.10149001400337247</v>
      </c>
      <c r="AH185" s="25">
        <f>VLOOKUP(Y185,'Hazard Weighting Functions'!$B$5:$G$1205,5,FALSE)</f>
        <v>1.7000000000000001E-2</v>
      </c>
      <c r="AI185" s="25">
        <f t="shared" si="78"/>
        <v>0.36541335054740109</v>
      </c>
      <c r="AJ185" s="25">
        <f t="shared" si="79"/>
        <v>1.4827462346820819</v>
      </c>
      <c r="AM185" s="25">
        <f t="shared" si="89"/>
        <v>101.49001400337247</v>
      </c>
      <c r="BF185" s="1"/>
      <c r="BG185" s="1"/>
      <c r="BK185" s="1">
        <f t="shared" si="70"/>
        <v>930</v>
      </c>
      <c r="BL185" s="20">
        <f t="shared" si="70"/>
        <v>62.752490317637218</v>
      </c>
      <c r="BM185" s="25">
        <f>VLOOKUP(BK185,'Hazard Weighting Functions'!$B$5:$G$1205,4,FALSE)</f>
        <v>0.34699999999999998</v>
      </c>
      <c r="BN185" s="25">
        <f t="shared" si="85"/>
        <v>21.775114140220111</v>
      </c>
      <c r="BO185" s="25">
        <f t="shared" si="67"/>
        <v>102.53806992295398</v>
      </c>
      <c r="BP185" s="20">
        <f t="shared" si="71"/>
        <v>810</v>
      </c>
      <c r="BQ185" s="20">
        <f t="shared" si="71"/>
        <v>1150.8745583714297</v>
      </c>
      <c r="BR185" s="25">
        <f>VLOOKUP(BP185,'Hazard Weighting Functions'!$B$5:$G$1205,4,FALSE)</f>
        <v>0.60299999999999998</v>
      </c>
      <c r="BS185" s="25">
        <f t="shared" si="86"/>
        <v>693.97735869797202</v>
      </c>
      <c r="BT185" s="25">
        <f t="shared" si="87"/>
        <v>3225.8700540992318</v>
      </c>
    </row>
    <row r="186" spans="2:72">
      <c r="B186" s="25">
        <v>685</v>
      </c>
      <c r="C186" s="36">
        <v>19.101102627972452</v>
      </c>
      <c r="E186" s="25">
        <v>685</v>
      </c>
      <c r="F186" s="36"/>
      <c r="H186" s="25">
        <v>685</v>
      </c>
      <c r="I186" s="36"/>
      <c r="K186" s="25">
        <v>1785</v>
      </c>
      <c r="L186" s="36"/>
      <c r="N186" s="25">
        <v>935</v>
      </c>
      <c r="O186" s="36">
        <v>56.755498020535356</v>
      </c>
      <c r="Q186" s="20">
        <v>815</v>
      </c>
      <c r="R186" s="36">
        <v>1012.5138589842455</v>
      </c>
      <c r="V186" s="25">
        <f t="shared" si="72"/>
        <v>685</v>
      </c>
      <c r="W186" s="25">
        <f t="shared" si="72"/>
        <v>19.101102627972452</v>
      </c>
      <c r="Y186" s="25">
        <f t="shared" si="73"/>
        <v>685</v>
      </c>
      <c r="Z186" s="25">
        <f t="shared" si="73"/>
        <v>19.101102627972452</v>
      </c>
      <c r="AA186" s="25">
        <f>VLOOKUP(Y186,'Hazard Weighting Functions'!$B$5:$G$1205,2,FALSE)</f>
        <v>0</v>
      </c>
      <c r="AB186" s="25">
        <f t="shared" si="74"/>
        <v>0</v>
      </c>
      <c r="AC186" s="25">
        <f t="shared" si="75"/>
        <v>0</v>
      </c>
      <c r="AE186" s="25">
        <f>VLOOKUP(Y186,'Hazard Weighting Functions'!$B$5:$G$1205,3,FALSE)</f>
        <v>1E-3</v>
      </c>
      <c r="AF186" s="25">
        <f t="shared" si="76"/>
        <v>1.9101102627972454E-2</v>
      </c>
      <c r="AG186" s="25">
        <f t="shared" si="77"/>
        <v>9.0231418293955395E-2</v>
      </c>
      <c r="AH186" s="25">
        <f>VLOOKUP(Y186,'Hazard Weighting Functions'!$B$5:$G$1205,5,FALSE)</f>
        <v>1.192E-2</v>
      </c>
      <c r="AI186" s="25">
        <f t="shared" si="78"/>
        <v>0.22768514332543163</v>
      </c>
      <c r="AJ186" s="25">
        <f t="shared" si="79"/>
        <v>0.91796267106781837</v>
      </c>
      <c r="AM186" s="25">
        <f t="shared" si="89"/>
        <v>90.2314182939554</v>
      </c>
      <c r="BF186" s="1"/>
      <c r="BG186" s="1"/>
      <c r="BK186" s="1">
        <f t="shared" si="70"/>
        <v>935</v>
      </c>
      <c r="BL186" s="20">
        <f t="shared" si="70"/>
        <v>56.755498020535356</v>
      </c>
      <c r="BM186" s="25">
        <f>VLOOKUP(BK186,'Hazard Weighting Functions'!$B$5:$G$1205,4,FALSE)</f>
        <v>0.33900000000000002</v>
      </c>
      <c r="BN186" s="25">
        <f t="shared" si="85"/>
        <v>19.240113828961487</v>
      </c>
      <c r="BO186" s="25">
        <f t="shared" si="67"/>
        <v>89.265840197378878</v>
      </c>
      <c r="BP186" s="20">
        <f t="shared" si="71"/>
        <v>815</v>
      </c>
      <c r="BQ186" s="20">
        <f t="shared" si="71"/>
        <v>1012.5138589842455</v>
      </c>
      <c r="BR186" s="25">
        <f>VLOOKUP(BP186,'Hazard Weighting Functions'!$B$5:$G$1205,4,FALSE)</f>
        <v>0.58899999999999997</v>
      </c>
      <c r="BS186" s="25">
        <f t="shared" si="86"/>
        <v>596.37066294172064</v>
      </c>
      <c r="BT186" s="25">
        <f t="shared" si="87"/>
        <v>2777.4421624608203</v>
      </c>
    </row>
    <row r="187" spans="2:72">
      <c r="B187" s="25">
        <v>690</v>
      </c>
      <c r="C187" s="36">
        <v>16.991464689609707</v>
      </c>
      <c r="E187" s="25">
        <v>690</v>
      </c>
      <c r="F187" s="36"/>
      <c r="H187" s="25">
        <v>690</v>
      </c>
      <c r="I187" s="36"/>
      <c r="K187" s="25">
        <v>1790</v>
      </c>
      <c r="L187" s="36"/>
      <c r="N187" s="25">
        <v>940</v>
      </c>
      <c r="O187" s="36">
        <v>49.746895015075715</v>
      </c>
      <c r="Q187" s="20">
        <v>820</v>
      </c>
      <c r="R187" s="36">
        <v>894.96730790018682</v>
      </c>
      <c r="V187" s="25">
        <f t="shared" si="72"/>
        <v>690</v>
      </c>
      <c r="W187" s="25">
        <f t="shared" si="72"/>
        <v>16.991464689609707</v>
      </c>
      <c r="Y187" s="25">
        <f t="shared" si="73"/>
        <v>690</v>
      </c>
      <c r="Z187" s="25">
        <f t="shared" si="73"/>
        <v>16.991464689609707</v>
      </c>
      <c r="AA187" s="25">
        <f>VLOOKUP(Y187,'Hazard Weighting Functions'!$B$5:$G$1205,2,FALSE)</f>
        <v>0</v>
      </c>
      <c r="AB187" s="25">
        <f t="shared" si="74"/>
        <v>0</v>
      </c>
      <c r="AC187" s="25">
        <f t="shared" si="75"/>
        <v>0</v>
      </c>
      <c r="AE187" s="25">
        <f>VLOOKUP(Y187,'Hazard Weighting Functions'!$B$5:$G$1205,3,FALSE)</f>
        <v>1E-3</v>
      </c>
      <c r="AF187" s="25">
        <f t="shared" si="76"/>
        <v>1.6991464689609707E-2</v>
      </c>
      <c r="AG187" s="25">
        <f t="shared" si="77"/>
        <v>8.0370617348277384E-2</v>
      </c>
      <c r="AH187" s="25">
        <f>VLOOKUP(Y187,'Hazard Weighting Functions'!$B$5:$G$1205,5,FALSE)</f>
        <v>8.2100000000000003E-3</v>
      </c>
      <c r="AI187" s="25">
        <f t="shared" si="78"/>
        <v>0.1394999251016957</v>
      </c>
      <c r="AJ187" s="25">
        <f t="shared" si="79"/>
        <v>0.56560547479183987</v>
      </c>
      <c r="AM187" s="25">
        <f t="shared" si="89"/>
        <v>80.370617348277392</v>
      </c>
      <c r="BF187" s="1"/>
      <c r="BG187" s="1"/>
      <c r="BK187" s="1">
        <f t="shared" si="70"/>
        <v>940</v>
      </c>
      <c r="BL187" s="20">
        <f t="shared" si="70"/>
        <v>49.746895015075715</v>
      </c>
      <c r="BM187" s="25">
        <f>VLOOKUP(BK187,'Hazard Weighting Functions'!$B$5:$G$1205,4,FALSE)</f>
        <v>0.33100000000000002</v>
      </c>
      <c r="BN187" s="25">
        <f t="shared" si="85"/>
        <v>16.466222249990061</v>
      </c>
      <c r="BO187" s="25">
        <f t="shared" si="67"/>
        <v>77.61422362352863</v>
      </c>
      <c r="BP187" s="20">
        <f t="shared" si="71"/>
        <v>820</v>
      </c>
      <c r="BQ187" s="20">
        <f t="shared" si="71"/>
        <v>894.96730790018682</v>
      </c>
      <c r="BR187" s="25">
        <f>VLOOKUP(BP187,'Hazard Weighting Functions'!$B$5:$G$1205,4,FALSE)</f>
        <v>0.57499999999999996</v>
      </c>
      <c r="BS187" s="25">
        <f t="shared" si="86"/>
        <v>514.60620204260738</v>
      </c>
      <c r="BT187" s="25">
        <f t="shared" si="87"/>
        <v>2392.403869608504</v>
      </c>
    </row>
    <row r="188" spans="2:72">
      <c r="B188" s="25">
        <v>695</v>
      </c>
      <c r="C188" s="36">
        <v>15.15678224970125</v>
      </c>
      <c r="E188" s="25">
        <v>695</v>
      </c>
      <c r="F188" s="36"/>
      <c r="H188" s="25">
        <v>695</v>
      </c>
      <c r="I188" s="36"/>
      <c r="K188" s="25">
        <v>1795</v>
      </c>
      <c r="L188" s="36"/>
      <c r="N188" s="25">
        <v>945</v>
      </c>
      <c r="O188" s="36">
        <v>44.998355553769727</v>
      </c>
      <c r="Q188" s="20">
        <v>825</v>
      </c>
      <c r="R188" s="36">
        <v>787.10915622917128</v>
      </c>
      <c r="V188" s="25">
        <f t="shared" si="72"/>
        <v>695</v>
      </c>
      <c r="W188" s="25">
        <f t="shared" si="72"/>
        <v>15.15678224970125</v>
      </c>
      <c r="Y188" s="25">
        <f t="shared" si="73"/>
        <v>695</v>
      </c>
      <c r="Z188" s="25">
        <f t="shared" si="73"/>
        <v>15.15678224970125</v>
      </c>
      <c r="AA188" s="25">
        <f>VLOOKUP(Y188,'Hazard Weighting Functions'!$B$5:$G$1205,2,FALSE)</f>
        <v>0</v>
      </c>
      <c r="AB188" s="25">
        <f t="shared" si="74"/>
        <v>0</v>
      </c>
      <c r="AC188" s="25">
        <f t="shared" si="75"/>
        <v>0</v>
      </c>
      <c r="AE188" s="25">
        <f>VLOOKUP(Y188,'Hazard Weighting Functions'!$B$5:$G$1205,3,FALSE)</f>
        <v>1E-3</v>
      </c>
      <c r="AF188" s="25">
        <f t="shared" si="76"/>
        <v>1.515678224970125E-2</v>
      </c>
      <c r="AG188" s="25">
        <f t="shared" si="77"/>
        <v>7.1610607694700346E-2</v>
      </c>
      <c r="AH188" s="25">
        <f>VLOOKUP(Y188,'Hazard Weighting Functions'!$B$5:$G$1205,5,FALSE)</f>
        <v>5.7229999999999998E-3</v>
      </c>
      <c r="AI188" s="25">
        <f t="shared" si="78"/>
        <v>8.6742264815040243E-2</v>
      </c>
      <c r="AJ188" s="25">
        <f t="shared" si="79"/>
        <v>0.3551695728305751</v>
      </c>
      <c r="AM188" s="25">
        <f t="shared" si="89"/>
        <v>71.610607694700349</v>
      </c>
      <c r="BF188" s="1"/>
      <c r="BG188" s="1"/>
      <c r="BK188" s="1">
        <f t="shared" si="70"/>
        <v>945</v>
      </c>
      <c r="BL188" s="20">
        <f t="shared" si="70"/>
        <v>44.998355553769727</v>
      </c>
      <c r="BM188" s="25">
        <f>VLOOKUP(BK188,'Hazard Weighting Functions'!$B$5:$G$1205,4,FALSE)</f>
        <v>0.32400000000000001</v>
      </c>
      <c r="BN188" s="25">
        <f t="shared" si="85"/>
        <v>14.579467199421392</v>
      </c>
      <c r="BO188" s="25">
        <f t="shared" si="67"/>
        <v>68.380142812483982</v>
      </c>
      <c r="BP188" s="20">
        <f t="shared" si="71"/>
        <v>825</v>
      </c>
      <c r="BQ188" s="20">
        <f t="shared" si="71"/>
        <v>787.10915622917128</v>
      </c>
      <c r="BR188" s="25">
        <f>VLOOKUP(BP188,'Hazard Weighting Functions'!$B$5:$G$1205,4,FALSE)</f>
        <v>0.56200000000000006</v>
      </c>
      <c r="BS188" s="25">
        <f t="shared" si="86"/>
        <v>442.35534580079428</v>
      </c>
      <c r="BT188" s="25">
        <f t="shared" si="87"/>
        <v>2070.1889013114037</v>
      </c>
    </row>
    <row r="189" spans="2:72">
      <c r="B189" s="25">
        <v>700</v>
      </c>
      <c r="C189" s="36">
        <v>13.487460828178891</v>
      </c>
      <c r="E189" s="25">
        <v>700</v>
      </c>
      <c r="F189" s="36"/>
      <c r="H189" s="25">
        <v>700</v>
      </c>
      <c r="I189" s="36"/>
      <c r="K189" s="25">
        <v>1800</v>
      </c>
      <c r="L189" s="36"/>
      <c r="N189" s="25">
        <v>950</v>
      </c>
      <c r="O189" s="36">
        <v>40.419588372063927</v>
      </c>
      <c r="Q189" s="20">
        <v>830</v>
      </c>
      <c r="R189" s="36">
        <v>701.30948131594027</v>
      </c>
      <c r="V189" s="25">
        <f t="shared" si="72"/>
        <v>700</v>
      </c>
      <c r="W189" s="25">
        <f t="shared" si="72"/>
        <v>13.487460828178891</v>
      </c>
      <c r="Y189" s="25">
        <f t="shared" si="73"/>
        <v>700</v>
      </c>
      <c r="Z189" s="25">
        <f t="shared" si="73"/>
        <v>13.487460828178891</v>
      </c>
      <c r="AA189" s="25">
        <f>VLOOKUP(Y189,'Hazard Weighting Functions'!$B$5:$G$1205,2,FALSE)</f>
        <v>0</v>
      </c>
      <c r="AB189" s="25">
        <f t="shared" si="74"/>
        <v>0</v>
      </c>
      <c r="AC189" s="25">
        <f t="shared" si="75"/>
        <v>0</v>
      </c>
      <c r="AE189" s="25">
        <f>VLOOKUP(Y189,'Hazard Weighting Functions'!$B$5:$G$1205,3,FALSE)</f>
        <v>1E-3</v>
      </c>
      <c r="AF189" s="25">
        <f t="shared" si="76"/>
        <v>1.3487460828178892E-2</v>
      </c>
      <c r="AH189" s="25">
        <f>VLOOKUP(Y189,'Hazard Weighting Functions'!$B$5:$G$1205,5,FALSE)</f>
        <v>4.1019999999999997E-3</v>
      </c>
      <c r="AI189" s="25">
        <f t="shared" si="78"/>
        <v>5.532556431718981E-2</v>
      </c>
      <c r="AJ189" s="25">
        <f t="shared" si="79"/>
        <v>0.22633089736077874</v>
      </c>
      <c r="AM189" s="25">
        <f t="shared" si="89"/>
        <v>63.768835261913338</v>
      </c>
      <c r="BF189" s="1"/>
      <c r="BG189" s="1"/>
      <c r="BK189" s="1">
        <f t="shared" si="70"/>
        <v>950</v>
      </c>
      <c r="BL189" s="20">
        <f t="shared" si="70"/>
        <v>40.419588372063927</v>
      </c>
      <c r="BM189" s="25">
        <f>VLOOKUP(BK189,'Hazard Weighting Functions'!$B$5:$G$1205,4,FALSE)</f>
        <v>0.316</v>
      </c>
      <c r="BN189" s="25">
        <f t="shared" si="85"/>
        <v>12.772589925572202</v>
      </c>
      <c r="BO189" s="25">
        <f t="shared" si="67"/>
        <v>60.026190075429199</v>
      </c>
      <c r="BP189" s="20">
        <f t="shared" si="71"/>
        <v>830</v>
      </c>
      <c r="BQ189" s="20">
        <f t="shared" si="71"/>
        <v>701.30948131594027</v>
      </c>
      <c r="BR189" s="25">
        <f>VLOOKUP(BP189,'Hazard Weighting Functions'!$B$5:$G$1205,4,FALSE)</f>
        <v>0.55000000000000004</v>
      </c>
      <c r="BS189" s="25">
        <f t="shared" si="86"/>
        <v>385.72021472376719</v>
      </c>
      <c r="BT189" s="25">
        <f t="shared" si="87"/>
        <v>1819.5728243971937</v>
      </c>
    </row>
    <row r="190" spans="2:72">
      <c r="B190" s="25">
        <v>705</v>
      </c>
      <c r="C190" s="36">
        <v>12.020073276586443</v>
      </c>
      <c r="E190" s="25">
        <v>705</v>
      </c>
      <c r="F190" s="36"/>
      <c r="H190" s="25">
        <v>705</v>
      </c>
      <c r="I190" s="36"/>
      <c r="K190" s="25">
        <v>1805</v>
      </c>
      <c r="L190" s="36"/>
      <c r="N190" s="25">
        <v>955</v>
      </c>
      <c r="O190" s="36">
        <v>36.368563445305753</v>
      </c>
      <c r="Q190" s="20">
        <v>835</v>
      </c>
      <c r="R190" s="36">
        <v>637.07432967432078</v>
      </c>
      <c r="V190" s="25">
        <f t="shared" si="72"/>
        <v>705</v>
      </c>
      <c r="W190" s="25">
        <f t="shared" si="72"/>
        <v>12.020073276586443</v>
      </c>
      <c r="Y190" s="25">
        <f t="shared" si="73"/>
        <v>705</v>
      </c>
      <c r="Z190" s="25">
        <f t="shared" si="73"/>
        <v>12.020073276586443</v>
      </c>
      <c r="AA190" s="25">
        <f>VLOOKUP(Y190,'Hazard Weighting Functions'!$B$5:$G$1205,2,FALSE)</f>
        <v>0</v>
      </c>
      <c r="AB190" s="25">
        <f t="shared" si="74"/>
        <v>0</v>
      </c>
      <c r="AC190" s="25">
        <f t="shared" si="75"/>
        <v>0</v>
      </c>
      <c r="AE190" s="25">
        <f>VLOOKUP(Y190,'Hazard Weighting Functions'!$B$5:$G$1205,3,FALSE)</f>
        <v>0</v>
      </c>
      <c r="AF190" s="25">
        <f t="shared" si="76"/>
        <v>0</v>
      </c>
      <c r="AG190" s="25">
        <f t="shared" si="77"/>
        <v>0</v>
      </c>
      <c r="AH190" s="25">
        <f>VLOOKUP(Y190,'Hazard Weighting Functions'!$B$5:$G$1205,5,FALSE)</f>
        <v>2.9290000000000002E-3</v>
      </c>
      <c r="AI190" s="25">
        <f t="shared" si="78"/>
        <v>3.5206794627121694E-2</v>
      </c>
      <c r="AJ190" s="25">
        <f t="shared" si="79"/>
        <v>0.14378510639647843</v>
      </c>
      <c r="AM190" s="25">
        <f t="shared" si="89"/>
        <v>56.720733085619237</v>
      </c>
      <c r="BF190" s="1"/>
      <c r="BG190" s="1"/>
      <c r="BK190" s="1">
        <f t="shared" si="70"/>
        <v>955</v>
      </c>
      <c r="BL190" s="20">
        <f t="shared" si="70"/>
        <v>36.368563445305753</v>
      </c>
      <c r="BM190" s="25">
        <f>VLOOKUP(BK190,'Hazard Weighting Functions'!$B$5:$G$1205,4,FALSE)</f>
        <v>0.309</v>
      </c>
      <c r="BN190" s="25">
        <f t="shared" si="85"/>
        <v>11.237886104599477</v>
      </c>
      <c r="BO190" s="25">
        <f t="shared" si="67"/>
        <v>52.874662033315893</v>
      </c>
      <c r="BP190" s="20">
        <f t="shared" si="71"/>
        <v>835</v>
      </c>
      <c r="BQ190" s="20">
        <f t="shared" si="71"/>
        <v>637.07432967432078</v>
      </c>
      <c r="BR190" s="25">
        <f>VLOOKUP(BP190,'Hazard Weighting Functions'!$B$5:$G$1205,4,FALSE)</f>
        <v>0.53700000000000003</v>
      </c>
      <c r="BS190" s="25">
        <f t="shared" si="86"/>
        <v>342.10891503511027</v>
      </c>
      <c r="BT190" s="25">
        <f t="shared" si="87"/>
        <v>1602.5605241672924</v>
      </c>
    </row>
    <row r="191" spans="2:72">
      <c r="B191" s="25">
        <v>710</v>
      </c>
      <c r="C191" s="36">
        <v>10.668219957661254</v>
      </c>
      <c r="E191" s="25">
        <v>710</v>
      </c>
      <c r="F191" s="36"/>
      <c r="H191" s="25">
        <v>710</v>
      </c>
      <c r="I191" s="36"/>
      <c r="K191" s="25">
        <v>1810</v>
      </c>
      <c r="L191" s="36"/>
      <c r="N191" s="25">
        <v>960</v>
      </c>
      <c r="O191" s="36">
        <v>32.821121552075759</v>
      </c>
      <c r="Q191" s="20">
        <v>840</v>
      </c>
      <c r="R191" s="36">
        <v>569.36246596534613</v>
      </c>
      <c r="V191" s="25">
        <f t="shared" si="72"/>
        <v>710</v>
      </c>
      <c r="W191" s="25">
        <f t="shared" si="72"/>
        <v>10.668219957661254</v>
      </c>
      <c r="Y191" s="25">
        <f t="shared" si="73"/>
        <v>710</v>
      </c>
      <c r="Z191" s="25">
        <f t="shared" si="73"/>
        <v>10.668219957661254</v>
      </c>
      <c r="AA191" s="25">
        <f>VLOOKUP(Y191,'Hazard Weighting Functions'!$B$5:$G$1205,2,FALSE)</f>
        <v>0</v>
      </c>
      <c r="AB191" s="25">
        <f t="shared" si="74"/>
        <v>0</v>
      </c>
      <c r="AC191" s="25">
        <f t="shared" si="75"/>
        <v>0</v>
      </c>
      <c r="AE191" s="25">
        <f>VLOOKUP(Y191,'Hazard Weighting Functions'!$B$5:$G$1205,3,FALSE)</f>
        <v>0</v>
      </c>
      <c r="AF191" s="25">
        <f t="shared" si="76"/>
        <v>0</v>
      </c>
      <c r="AG191" s="25">
        <f t="shared" si="77"/>
        <v>0</v>
      </c>
      <c r="AH191" s="25">
        <f>VLOOKUP(Y191,'Hazard Weighting Functions'!$B$5:$G$1205,5,FALSE)</f>
        <v>2.091E-3</v>
      </c>
      <c r="AI191" s="25">
        <f t="shared" si="78"/>
        <v>2.2307247931469681E-2</v>
      </c>
      <c r="AJ191" s="25">
        <f t="shared" si="79"/>
        <v>9.0856654706173143E-2</v>
      </c>
      <c r="AM191" s="25">
        <f t="shared" si="89"/>
        <v>50.315115175486646</v>
      </c>
      <c r="BF191" s="1"/>
      <c r="BG191" s="1"/>
      <c r="BK191" s="1">
        <f t="shared" si="70"/>
        <v>960</v>
      </c>
      <c r="BL191" s="20">
        <f t="shared" si="70"/>
        <v>32.821121552075759</v>
      </c>
      <c r="BM191" s="25">
        <f>VLOOKUP(BK191,'Hazard Weighting Functions'!$B$5:$G$1205,4,FALSE)</f>
        <v>0.30199999999999999</v>
      </c>
      <c r="BN191" s="25">
        <f t="shared" si="85"/>
        <v>9.9119787087268794</v>
      </c>
      <c r="BO191" s="25">
        <f t="shared" si="67"/>
        <v>46.657889600312132</v>
      </c>
      <c r="BP191" s="20">
        <f t="shared" si="71"/>
        <v>840</v>
      </c>
      <c r="BQ191" s="20">
        <f t="shared" si="71"/>
        <v>569.36246596534613</v>
      </c>
      <c r="BR191" s="25">
        <f>VLOOKUP(BP191,'Hazard Weighting Functions'!$B$5:$G$1205,4,FALSE)</f>
        <v>0.52500000000000002</v>
      </c>
      <c r="BS191" s="25">
        <f t="shared" si="86"/>
        <v>298.91529463180672</v>
      </c>
      <c r="BT191" s="25">
        <f t="shared" si="87"/>
        <v>1377.0152399436365</v>
      </c>
    </row>
    <row r="192" spans="2:72">
      <c r="B192" s="25">
        <v>715</v>
      </c>
      <c r="C192" s="36">
        <v>9.4578261125334038</v>
      </c>
      <c r="E192" s="25">
        <v>715</v>
      </c>
      <c r="F192" s="36"/>
      <c r="H192" s="25">
        <v>715</v>
      </c>
      <c r="I192" s="36"/>
      <c r="K192" s="25">
        <v>1815</v>
      </c>
      <c r="L192" s="36"/>
      <c r="N192" s="25">
        <v>965</v>
      </c>
      <c r="O192" s="36">
        <v>29.665007225077868</v>
      </c>
      <c r="Q192" s="20">
        <v>845</v>
      </c>
      <c r="R192" s="36">
        <v>491.01520730145774</v>
      </c>
      <c r="V192" s="25">
        <f t="shared" si="72"/>
        <v>715</v>
      </c>
      <c r="W192" s="25">
        <f t="shared" si="72"/>
        <v>9.4578261125334038</v>
      </c>
      <c r="Y192" s="25">
        <f t="shared" si="73"/>
        <v>715</v>
      </c>
      <c r="Z192" s="25">
        <f t="shared" si="73"/>
        <v>9.4578261125334038</v>
      </c>
      <c r="AA192" s="25">
        <f>VLOOKUP(Y192,'Hazard Weighting Functions'!$B$5:$G$1205,2,FALSE)</f>
        <v>0</v>
      </c>
      <c r="AB192" s="25">
        <f t="shared" si="74"/>
        <v>0</v>
      </c>
      <c r="AC192" s="25">
        <f t="shared" si="75"/>
        <v>0</v>
      </c>
      <c r="AE192" s="25">
        <f>VLOOKUP(Y192,'Hazard Weighting Functions'!$B$5:$G$1205,3,FALSE)</f>
        <v>0</v>
      </c>
      <c r="AF192" s="25">
        <f t="shared" si="76"/>
        <v>0</v>
      </c>
      <c r="AG192" s="25">
        <f t="shared" si="77"/>
        <v>0</v>
      </c>
      <c r="AH192" s="25">
        <f>VLOOKUP(Y192,'Hazard Weighting Functions'!$B$5:$G$1205,5,FALSE)</f>
        <v>1.4840000000000001E-3</v>
      </c>
      <c r="AI192" s="25">
        <f t="shared" si="78"/>
        <v>1.4035413950999573E-2</v>
      </c>
      <c r="AJ192" s="25">
        <f t="shared" si="79"/>
        <v>5.6768355137511127E-2</v>
      </c>
      <c r="AM192" s="25">
        <f t="shared" si="89"/>
        <v>44.351174889750133</v>
      </c>
      <c r="BF192" s="1"/>
      <c r="BG192" s="1"/>
      <c r="BK192" s="1">
        <f t="shared" si="70"/>
        <v>965</v>
      </c>
      <c r="BL192" s="20">
        <f t="shared" si="70"/>
        <v>29.665007225077868</v>
      </c>
      <c r="BM192" s="25">
        <f>VLOOKUP(BK192,'Hazard Weighting Functions'!$B$5:$G$1205,4,FALSE)</f>
        <v>0.29499999999999998</v>
      </c>
      <c r="BN192" s="25">
        <f t="shared" si="85"/>
        <v>8.75117713139797</v>
      </c>
      <c r="BO192" s="25">
        <f t="shared" si="67"/>
        <v>41.160480507794432</v>
      </c>
      <c r="BP192" s="20">
        <f t="shared" si="71"/>
        <v>845</v>
      </c>
      <c r="BQ192" s="20">
        <f t="shared" si="71"/>
        <v>491.01520730145774</v>
      </c>
      <c r="BR192" s="25">
        <f>VLOOKUP(BP192,'Hazard Weighting Functions'!$B$5:$G$1205,4,FALSE)</f>
        <v>0.51300000000000001</v>
      </c>
      <c r="BS192" s="25">
        <f t="shared" si="86"/>
        <v>251.89080134564782</v>
      </c>
      <c r="BT192" s="25">
        <f t="shared" si="87"/>
        <v>1151.4874894518928</v>
      </c>
    </row>
    <row r="193" spans="2:72">
      <c r="B193" s="25">
        <v>720</v>
      </c>
      <c r="C193" s="36">
        <v>8.2826438433666478</v>
      </c>
      <c r="E193" s="25">
        <v>720</v>
      </c>
      <c r="F193" s="36"/>
      <c r="H193" s="25">
        <v>720</v>
      </c>
      <c r="I193" s="36"/>
      <c r="K193" s="25">
        <v>1820</v>
      </c>
      <c r="L193" s="36"/>
      <c r="N193" s="25">
        <v>970</v>
      </c>
      <c r="O193" s="36">
        <v>26.781302332360422</v>
      </c>
      <c r="Q193" s="20">
        <v>850</v>
      </c>
      <c r="R193" s="36">
        <v>416.57523839343185</v>
      </c>
      <c r="V193" s="25">
        <f t="shared" si="72"/>
        <v>720</v>
      </c>
      <c r="W193" s="25">
        <f t="shared" si="72"/>
        <v>8.2826438433666478</v>
      </c>
      <c r="Y193" s="25">
        <f t="shared" si="73"/>
        <v>720</v>
      </c>
      <c r="Z193" s="25">
        <f t="shared" si="73"/>
        <v>8.2826438433666478</v>
      </c>
      <c r="AA193" s="25">
        <f>VLOOKUP(Y193,'Hazard Weighting Functions'!$B$5:$G$1205,2,FALSE)</f>
        <v>0</v>
      </c>
      <c r="AB193" s="25">
        <f t="shared" si="74"/>
        <v>0</v>
      </c>
      <c r="AC193" s="25">
        <f t="shared" si="75"/>
        <v>0</v>
      </c>
      <c r="AE193" s="25">
        <f>VLOOKUP(Y193,'Hazard Weighting Functions'!$B$5:$G$1205,3,FALSE)</f>
        <v>0</v>
      </c>
      <c r="AF193" s="25">
        <f t="shared" si="76"/>
        <v>0</v>
      </c>
      <c r="AG193" s="25">
        <f t="shared" si="77"/>
        <v>0</v>
      </c>
      <c r="AH193" s="25">
        <f>VLOOKUP(Y193,'Hazard Weighting Functions'!$B$5:$G$1205,5,FALSE)</f>
        <v>1.047E-3</v>
      </c>
      <c r="AI193" s="25">
        <f t="shared" si="78"/>
        <v>8.67192810400488E-3</v>
      </c>
      <c r="AJ193" s="25">
        <f t="shared" si="79"/>
        <v>3.5329279597118894E-2</v>
      </c>
      <c r="AM193" s="25">
        <f t="shared" si="89"/>
        <v>39.151824928831076</v>
      </c>
      <c r="BF193" s="1"/>
      <c r="BG193" s="1"/>
      <c r="BK193" s="1">
        <f t="shared" si="70"/>
        <v>970</v>
      </c>
      <c r="BL193" s="20">
        <f t="shared" si="70"/>
        <v>26.781302332360422</v>
      </c>
      <c r="BM193" s="25">
        <f>VLOOKUP(BK193,'Hazard Weighting Functions'!$B$5:$G$1205,4,FALSE)</f>
        <v>0.28799999999999998</v>
      </c>
      <c r="BN193" s="25">
        <f t="shared" si="85"/>
        <v>7.7130150717198012</v>
      </c>
      <c r="BO193" s="25">
        <f t="shared" si="67"/>
        <v>36.401446622428033</v>
      </c>
      <c r="BP193" s="20">
        <f t="shared" si="71"/>
        <v>850</v>
      </c>
      <c r="BQ193" s="20">
        <f t="shared" si="71"/>
        <v>416.57523839343185</v>
      </c>
      <c r="BR193" s="25">
        <f>VLOOKUP(BP193,'Hazard Weighting Functions'!$B$5:$G$1205,4,FALSE)</f>
        <v>0.501</v>
      </c>
      <c r="BS193" s="25">
        <f t="shared" si="86"/>
        <v>208.70419443510934</v>
      </c>
      <c r="BT193" s="25">
        <f t="shared" si="87"/>
        <v>976.22775529381943</v>
      </c>
    </row>
    <row r="194" spans="2:72">
      <c r="B194" s="25">
        <v>725</v>
      </c>
      <c r="C194" s="36">
        <v>7.3780861281657808</v>
      </c>
      <c r="E194" s="25">
        <v>725</v>
      </c>
      <c r="F194" s="36"/>
      <c r="H194" s="25">
        <v>725</v>
      </c>
      <c r="I194" s="36"/>
      <c r="K194" s="25">
        <v>1825</v>
      </c>
      <c r="L194" s="36"/>
      <c r="N194" s="25">
        <v>975</v>
      </c>
      <c r="O194" s="36">
        <v>24.282140344863169</v>
      </c>
      <c r="Q194" s="20">
        <v>855</v>
      </c>
      <c r="R194" s="36">
        <v>370.99368914779268</v>
      </c>
      <c r="V194" s="25">
        <f t="shared" si="72"/>
        <v>725</v>
      </c>
      <c r="W194" s="25">
        <f t="shared" si="72"/>
        <v>7.3780861281657808</v>
      </c>
      <c r="Y194" s="25">
        <f t="shared" si="73"/>
        <v>725</v>
      </c>
      <c r="Z194" s="25">
        <f t="shared" si="73"/>
        <v>7.3780861281657808</v>
      </c>
      <c r="AA194" s="25">
        <f>VLOOKUP(Y194,'Hazard Weighting Functions'!$B$5:$G$1205,2,FALSE)</f>
        <v>0</v>
      </c>
      <c r="AB194" s="25">
        <f t="shared" si="74"/>
        <v>0</v>
      </c>
      <c r="AC194" s="25">
        <f t="shared" si="75"/>
        <v>0</v>
      </c>
      <c r="AE194" s="25">
        <f>VLOOKUP(Y194,'Hazard Weighting Functions'!$B$5:$G$1205,3,FALSE)</f>
        <v>0</v>
      </c>
      <c r="AF194" s="25">
        <f t="shared" si="76"/>
        <v>0</v>
      </c>
      <c r="AG194" s="25">
        <f t="shared" si="77"/>
        <v>0</v>
      </c>
      <c r="AH194" s="25">
        <f>VLOOKUP(Y194,'Hazard Weighting Functions'!$B$5:$G$1205,5,FALSE)</f>
        <v>7.3999999999999999E-4</v>
      </c>
      <c r="AI194" s="25">
        <f t="shared" si="78"/>
        <v>5.4597837348426773E-3</v>
      </c>
      <c r="AJ194" s="25">
        <f t="shared" si="79"/>
        <v>2.2199226168717872E-2</v>
      </c>
      <c r="AM194" s="25">
        <f t="shared" si="89"/>
        <v>34.887074611974413</v>
      </c>
      <c r="BF194" s="1"/>
      <c r="BG194" s="1"/>
      <c r="BK194" s="1">
        <f t="shared" si="70"/>
        <v>975</v>
      </c>
      <c r="BL194" s="20">
        <f t="shared" si="70"/>
        <v>24.282140344863169</v>
      </c>
      <c r="BM194" s="25">
        <f>VLOOKUP(BK194,'Hazard Weighting Functions'!$B$5:$G$1205,4,FALSE)</f>
        <v>0.28199999999999997</v>
      </c>
      <c r="BN194" s="25">
        <f t="shared" si="85"/>
        <v>6.847563577251413</v>
      </c>
      <c r="BO194" s="25">
        <f t="shared" si="67"/>
        <v>32.181297521361024</v>
      </c>
      <c r="BP194" s="20">
        <f t="shared" si="71"/>
        <v>855</v>
      </c>
      <c r="BQ194" s="20">
        <f t="shared" si="71"/>
        <v>370.99368914779268</v>
      </c>
      <c r="BR194" s="25">
        <f>VLOOKUP(BP194,'Hazard Weighting Functions'!$B$5:$G$1205,4,FALSE)</f>
        <v>0.49</v>
      </c>
      <c r="BS194" s="25">
        <f t="shared" si="86"/>
        <v>181.78690768241842</v>
      </c>
      <c r="BT194" s="25">
        <f t="shared" si="87"/>
        <v>847.68423772683173</v>
      </c>
    </row>
    <row r="195" spans="2:72">
      <c r="B195" s="25">
        <v>730</v>
      </c>
      <c r="C195" s="36">
        <v>6.5767437166239837</v>
      </c>
      <c r="E195" s="25">
        <v>730</v>
      </c>
      <c r="F195" s="36"/>
      <c r="H195" s="25">
        <v>730</v>
      </c>
      <c r="I195" s="36"/>
      <c r="K195" s="25">
        <v>1830</v>
      </c>
      <c r="L195" s="36"/>
      <c r="N195" s="25">
        <v>980</v>
      </c>
      <c r="O195" s="36">
        <v>21.908928841065443</v>
      </c>
      <c r="Q195" s="20">
        <v>860</v>
      </c>
      <c r="R195" s="36">
        <v>328.36490064366239</v>
      </c>
      <c r="V195" s="25">
        <f t="shared" si="72"/>
        <v>730</v>
      </c>
      <c r="W195" s="25">
        <f t="shared" si="72"/>
        <v>6.5767437166239837</v>
      </c>
      <c r="Y195" s="25">
        <f t="shared" si="73"/>
        <v>730</v>
      </c>
      <c r="Z195" s="25">
        <f t="shared" si="73"/>
        <v>6.5767437166239837</v>
      </c>
      <c r="AA195" s="25">
        <f>VLOOKUP(Y195,'Hazard Weighting Functions'!$B$5:$G$1205,2,FALSE)</f>
        <v>0</v>
      </c>
      <c r="AB195" s="25">
        <f t="shared" si="74"/>
        <v>0</v>
      </c>
      <c r="AC195" s="25">
        <f t="shared" si="75"/>
        <v>0</v>
      </c>
      <c r="AE195" s="25">
        <f>VLOOKUP(Y195,'Hazard Weighting Functions'!$B$5:$G$1205,3,FALSE)</f>
        <v>0</v>
      </c>
      <c r="AF195" s="25">
        <f t="shared" si="76"/>
        <v>0</v>
      </c>
      <c r="AG195" s="25">
        <f t="shared" si="77"/>
        <v>0</v>
      </c>
      <c r="AH195" s="25">
        <f>VLOOKUP(Y195,'Hazard Weighting Functions'!$B$5:$G$1205,5,FALSE)</f>
        <v>5.1999999999999995E-4</v>
      </c>
      <c r="AI195" s="25">
        <f t="shared" si="78"/>
        <v>3.419906732644471E-3</v>
      </c>
      <c r="AJ195" s="25">
        <f t="shared" si="79"/>
        <v>1.3946438701367232E-2</v>
      </c>
      <c r="AM195" s="25">
        <f t="shared" si="89"/>
        <v>31.386948933642635</v>
      </c>
      <c r="BF195" s="1"/>
      <c r="BG195" s="1"/>
      <c r="BK195" s="1">
        <f t="shared" si="70"/>
        <v>980</v>
      </c>
      <c r="BL195" s="20">
        <f t="shared" si="70"/>
        <v>21.908928841065443</v>
      </c>
      <c r="BM195" s="25">
        <f>VLOOKUP(BK195,'Hazard Weighting Functions'!$B$5:$G$1205,4,FALSE)</f>
        <v>0.27500000000000002</v>
      </c>
      <c r="BN195" s="25">
        <f t="shared" si="85"/>
        <v>6.0249554312929972</v>
      </c>
      <c r="BO195" s="25">
        <f t="shared" si="67"/>
        <v>28.369039292990482</v>
      </c>
      <c r="BP195" s="20">
        <f t="shared" si="71"/>
        <v>860</v>
      </c>
      <c r="BQ195" s="20">
        <f t="shared" si="71"/>
        <v>328.36490064366239</v>
      </c>
      <c r="BR195" s="25">
        <f>VLOOKUP(BP195,'Hazard Weighting Functions'!$B$5:$G$1205,4,FALSE)</f>
        <v>0.47899999999999998</v>
      </c>
      <c r="BS195" s="25">
        <f t="shared" si="86"/>
        <v>157.28678740831427</v>
      </c>
      <c r="BT195" s="25">
        <f t="shared" si="87"/>
        <v>732.82863984474761</v>
      </c>
    </row>
    <row r="196" spans="2:72">
      <c r="B196" s="25">
        <v>735</v>
      </c>
      <c r="C196" s="36">
        <v>5.9780358568330714</v>
      </c>
      <c r="E196" s="25">
        <v>735</v>
      </c>
      <c r="F196" s="36"/>
      <c r="H196" s="25">
        <v>735</v>
      </c>
      <c r="I196" s="36"/>
      <c r="K196" s="25">
        <v>1835</v>
      </c>
      <c r="L196" s="36"/>
      <c r="N196" s="25">
        <v>985</v>
      </c>
      <c r="O196" s="36">
        <v>19.786841211536043</v>
      </c>
      <c r="Q196" s="20">
        <v>865</v>
      </c>
      <c r="R196" s="36">
        <v>290.26638574697597</v>
      </c>
      <c r="V196" s="25">
        <f t="shared" si="72"/>
        <v>735</v>
      </c>
      <c r="W196" s="25">
        <f t="shared" si="72"/>
        <v>5.9780358568330714</v>
      </c>
      <c r="Y196" s="25">
        <f t="shared" si="73"/>
        <v>735</v>
      </c>
      <c r="Z196" s="25">
        <f t="shared" si="73"/>
        <v>5.9780358568330714</v>
      </c>
      <c r="AA196" s="25">
        <f>VLOOKUP(Y196,'Hazard Weighting Functions'!$B$5:$G$1205,2,FALSE)</f>
        <v>0</v>
      </c>
      <c r="AB196" s="25">
        <f t="shared" si="74"/>
        <v>0</v>
      </c>
      <c r="AC196" s="25">
        <f t="shared" si="75"/>
        <v>0</v>
      </c>
      <c r="AE196" s="25">
        <f>VLOOKUP(Y196,'Hazard Weighting Functions'!$B$5:$G$1205,3,FALSE)</f>
        <v>0</v>
      </c>
      <c r="AF196" s="25">
        <f t="shared" si="76"/>
        <v>0</v>
      </c>
      <c r="AG196" s="25">
        <f t="shared" si="77"/>
        <v>0</v>
      </c>
      <c r="AH196" s="25">
        <f>VLOOKUP(Y196,'Hazard Weighting Functions'!$B$5:$G$1205,5,FALSE)</f>
        <v>3.611E-4</v>
      </c>
      <c r="AI196" s="25">
        <f t="shared" si="78"/>
        <v>2.1586687479024222E-3</v>
      </c>
      <c r="AJ196" s="25">
        <f t="shared" si="79"/>
        <v>8.7295420408147178E-3</v>
      </c>
      <c r="AM196" s="25">
        <f t="shared" si="89"/>
        <v>28.319368017117441</v>
      </c>
      <c r="BF196" s="1"/>
      <c r="BG196" s="1"/>
      <c r="BK196" s="1">
        <f t="shared" si="70"/>
        <v>985</v>
      </c>
      <c r="BL196" s="20">
        <f t="shared" si="70"/>
        <v>19.786841211536043</v>
      </c>
      <c r="BM196" s="25">
        <f>VLOOKUP(BK196,'Hazard Weighting Functions'!$B$5:$G$1205,4,FALSE)</f>
        <v>0.26900000000000002</v>
      </c>
      <c r="BN196" s="25">
        <f t="shared" si="85"/>
        <v>5.3226602859031962</v>
      </c>
      <c r="BO196" s="25">
        <f t="shared" si="67"/>
        <v>25.05398036433548</v>
      </c>
      <c r="BP196" s="20">
        <f t="shared" si="71"/>
        <v>865</v>
      </c>
      <c r="BQ196" s="20">
        <f t="shared" si="71"/>
        <v>290.26638574697597</v>
      </c>
      <c r="BR196" s="25">
        <f>VLOOKUP(BP196,'Hazard Weighting Functions'!$B$5:$G$1205,4,FALSE)</f>
        <v>0.46800000000000003</v>
      </c>
      <c r="BS196" s="25">
        <f t="shared" si="86"/>
        <v>135.84466852958477</v>
      </c>
      <c r="BT196" s="25">
        <f t="shared" si="87"/>
        <v>630.42044775232159</v>
      </c>
    </row>
    <row r="197" spans="2:72">
      <c r="B197" s="25">
        <v>740</v>
      </c>
      <c r="C197" s="36">
        <v>5.3497113500139042</v>
      </c>
      <c r="E197" s="25">
        <v>740</v>
      </c>
      <c r="F197" s="36"/>
      <c r="H197" s="25">
        <v>740</v>
      </c>
      <c r="I197" s="36"/>
      <c r="K197" s="25">
        <v>1840</v>
      </c>
      <c r="L197" s="36"/>
      <c r="N197" s="25">
        <v>990</v>
      </c>
      <c r="O197" s="36">
        <v>17.866661063996183</v>
      </c>
      <c r="Q197" s="20">
        <v>870</v>
      </c>
      <c r="R197" s="36">
        <v>254.53722225676989</v>
      </c>
      <c r="V197" s="25">
        <f t="shared" si="72"/>
        <v>740</v>
      </c>
      <c r="W197" s="25">
        <f t="shared" si="72"/>
        <v>5.3497113500139042</v>
      </c>
      <c r="Y197" s="25">
        <f t="shared" si="73"/>
        <v>740</v>
      </c>
      <c r="Z197" s="25">
        <f t="shared" si="73"/>
        <v>5.3497113500139042</v>
      </c>
      <c r="AA197" s="25">
        <f>VLOOKUP(Y197,'Hazard Weighting Functions'!$B$5:$G$1205,2,FALSE)</f>
        <v>0</v>
      </c>
      <c r="AB197" s="25">
        <f t="shared" si="74"/>
        <v>0</v>
      </c>
      <c r="AC197" s="25">
        <f t="shared" si="75"/>
        <v>0</v>
      </c>
      <c r="AE197" s="25">
        <f>VLOOKUP(Y197,'Hazard Weighting Functions'!$B$5:$G$1205,3,FALSE)</f>
        <v>0</v>
      </c>
      <c r="AF197" s="25">
        <f t="shared" si="76"/>
        <v>0</v>
      </c>
      <c r="AG197" s="25">
        <f t="shared" si="77"/>
        <v>0</v>
      </c>
      <c r="AH197" s="25">
        <f>VLOOKUP(Y197,'Hazard Weighting Functions'!$B$5:$G$1205,5,FALSE)</f>
        <v>2.4919999999999999E-4</v>
      </c>
      <c r="AI197" s="25">
        <f t="shared" si="78"/>
        <v>1.3331480684234647E-3</v>
      </c>
      <c r="AJ197" s="25">
        <f t="shared" si="79"/>
        <v>5.3828086948369321E-3</v>
      </c>
      <c r="AM197" s="25">
        <f t="shared" si="89"/>
        <v>25.299458850766406</v>
      </c>
      <c r="BF197" s="1"/>
      <c r="BG197" s="1"/>
      <c r="BK197" s="1">
        <f t="shared" si="70"/>
        <v>990</v>
      </c>
      <c r="BL197" s="20">
        <f t="shared" si="70"/>
        <v>17.866661063996183</v>
      </c>
      <c r="BM197" s="25">
        <f>VLOOKUP(BK197,'Hazard Weighting Functions'!$B$5:$G$1205,4,FALSE)</f>
        <v>0.26300000000000001</v>
      </c>
      <c r="BN197" s="25">
        <f t="shared" si="85"/>
        <v>4.6989318598309966</v>
      </c>
      <c r="BO197" s="25">
        <f t="shared" ref="BO197:BO260" si="90">0.5*(BK198-BK197)*(BN197+BN198)</f>
        <v>22.002561285481455</v>
      </c>
      <c r="BP197" s="20">
        <f t="shared" si="71"/>
        <v>870</v>
      </c>
      <c r="BQ197" s="20">
        <f t="shared" si="71"/>
        <v>254.53722225676989</v>
      </c>
      <c r="BR197" s="25">
        <f>VLOOKUP(BP197,'Hazard Weighting Functions'!$B$5:$G$1205,4,FALSE)</f>
        <v>0.45700000000000002</v>
      </c>
      <c r="BS197" s="25">
        <f t="shared" si="86"/>
        <v>116.32351057134385</v>
      </c>
      <c r="BT197" s="25">
        <f t="shared" si="87"/>
        <v>541.81678111829683</v>
      </c>
    </row>
    <row r="198" spans="2:72">
      <c r="B198" s="25">
        <v>745</v>
      </c>
      <c r="C198" s="36">
        <v>4.7700721902926579</v>
      </c>
      <c r="E198" s="25">
        <v>745</v>
      </c>
      <c r="F198" s="36"/>
      <c r="H198" s="25">
        <v>745</v>
      </c>
      <c r="I198" s="36"/>
      <c r="K198" s="25">
        <v>1845</v>
      </c>
      <c r="L198" s="36"/>
      <c r="N198" s="25">
        <v>995</v>
      </c>
      <c r="O198" s="36">
        <v>15.961450016971147</v>
      </c>
      <c r="Q198" s="20">
        <v>875</v>
      </c>
      <c r="R198" s="36">
        <v>224.61566415206909</v>
      </c>
      <c r="V198" s="25">
        <f t="shared" si="72"/>
        <v>745</v>
      </c>
      <c r="W198" s="25">
        <f t="shared" si="72"/>
        <v>4.7700721902926579</v>
      </c>
      <c r="Y198" s="25">
        <f t="shared" si="73"/>
        <v>745</v>
      </c>
      <c r="Z198" s="25">
        <f t="shared" si="73"/>
        <v>4.7700721902926579</v>
      </c>
      <c r="AA198" s="25">
        <f>VLOOKUP(Y198,'Hazard Weighting Functions'!$B$5:$G$1205,2,FALSE)</f>
        <v>0</v>
      </c>
      <c r="AB198" s="25">
        <f t="shared" si="74"/>
        <v>0</v>
      </c>
      <c r="AC198" s="25">
        <f t="shared" si="75"/>
        <v>0</v>
      </c>
      <c r="AE198" s="25">
        <f>VLOOKUP(Y198,'Hazard Weighting Functions'!$B$5:$G$1205,3,FALSE)</f>
        <v>0</v>
      </c>
      <c r="AF198" s="25">
        <f t="shared" si="76"/>
        <v>0</v>
      </c>
      <c r="AG198" s="25">
        <f t="shared" si="77"/>
        <v>0</v>
      </c>
      <c r="AH198" s="25">
        <f>VLOOKUP(Y198,'Hazard Weighting Functions'!$B$5:$G$1205,5,FALSE)</f>
        <v>1.719E-4</v>
      </c>
      <c r="AI198" s="25">
        <f t="shared" si="78"/>
        <v>8.1997540951130792E-4</v>
      </c>
      <c r="AJ198" s="25">
        <f t="shared" si="79"/>
        <v>3.3235936037232417E-3</v>
      </c>
      <c r="AM198" s="25">
        <f t="shared" si="89"/>
        <v>22.538972808606413</v>
      </c>
      <c r="BF198" s="1"/>
      <c r="BG198" s="1"/>
      <c r="BK198" s="1">
        <f t="shared" si="70"/>
        <v>995</v>
      </c>
      <c r="BL198" s="20">
        <f t="shared" si="70"/>
        <v>15.961450016971147</v>
      </c>
      <c r="BM198" s="25">
        <f>VLOOKUP(BK198,'Hazard Weighting Functions'!$B$5:$G$1205,4,FALSE)</f>
        <v>0.25700000000000001</v>
      </c>
      <c r="BN198" s="25">
        <f t="shared" si="85"/>
        <v>4.1020926543615852</v>
      </c>
      <c r="BO198" s="25">
        <f t="shared" si="90"/>
        <v>19.348236794974206</v>
      </c>
      <c r="BP198" s="20">
        <f t="shared" si="71"/>
        <v>875</v>
      </c>
      <c r="BQ198" s="20">
        <f t="shared" si="71"/>
        <v>224.61566415206909</v>
      </c>
      <c r="BR198" s="25">
        <f>VLOOKUP(BP198,'Hazard Weighting Functions'!$B$5:$G$1205,4,FALSE)</f>
        <v>0.44700000000000001</v>
      </c>
      <c r="BS198" s="25">
        <f t="shared" si="86"/>
        <v>100.40320187597489</v>
      </c>
      <c r="BT198" s="25">
        <f t="shared" si="87"/>
        <v>471.86084797055082</v>
      </c>
    </row>
    <row r="199" spans="2:72">
      <c r="B199" s="25">
        <v>750</v>
      </c>
      <c r="C199" s="36">
        <v>4.245516933149907</v>
      </c>
      <c r="E199" s="25">
        <v>750</v>
      </c>
      <c r="F199" s="36"/>
      <c r="H199" s="25">
        <v>750</v>
      </c>
      <c r="I199" s="36"/>
      <c r="K199" s="25">
        <v>1850</v>
      </c>
      <c r="L199" s="36"/>
      <c r="N199" s="25">
        <v>1000</v>
      </c>
      <c r="O199" s="36">
        <v>14.490844875012343</v>
      </c>
      <c r="Q199" s="20">
        <v>880</v>
      </c>
      <c r="R199" s="36">
        <v>202.15363229346781</v>
      </c>
      <c r="V199" s="25">
        <f t="shared" si="72"/>
        <v>750</v>
      </c>
      <c r="W199" s="25">
        <f t="shared" si="72"/>
        <v>4.245516933149907</v>
      </c>
      <c r="Y199" s="25">
        <f t="shared" si="73"/>
        <v>750</v>
      </c>
      <c r="Z199" s="25">
        <f t="shared" si="73"/>
        <v>4.245516933149907</v>
      </c>
      <c r="AA199" s="25">
        <f>VLOOKUP(Y199,'Hazard Weighting Functions'!$B$5:$G$1205,2,FALSE)</f>
        <v>0</v>
      </c>
      <c r="AB199" s="25">
        <f t="shared" si="74"/>
        <v>0</v>
      </c>
      <c r="AC199" s="25">
        <f t="shared" si="75"/>
        <v>0</v>
      </c>
      <c r="AE199" s="25">
        <f>VLOOKUP(Y199,'Hazard Weighting Functions'!$B$5:$G$1205,3,FALSE)</f>
        <v>0</v>
      </c>
      <c r="AF199" s="25">
        <f t="shared" si="76"/>
        <v>0</v>
      </c>
      <c r="AG199" s="25">
        <f t="shared" si="77"/>
        <v>0</v>
      </c>
      <c r="AH199" s="25">
        <f>VLOOKUP(Y199,'Hazard Weighting Functions'!$B$5:$G$1205,5,FALSE)</f>
        <v>1.2E-4</v>
      </c>
      <c r="AI199" s="25">
        <f t="shared" si="78"/>
        <v>5.0946203197798886E-4</v>
      </c>
      <c r="AJ199" s="25">
        <f t="shared" si="79"/>
        <v>2.0778788160108032E-3</v>
      </c>
      <c r="AM199" s="25">
        <f t="shared" si="89"/>
        <v>20.097562805349192</v>
      </c>
      <c r="BF199" s="1"/>
      <c r="BG199" s="1"/>
      <c r="BK199" s="1">
        <f t="shared" si="70"/>
        <v>1000</v>
      </c>
      <c r="BL199" s="20">
        <f t="shared" si="70"/>
        <v>14.490844875012343</v>
      </c>
      <c r="BM199" s="25">
        <f>VLOOKUP(BK199,'Hazard Weighting Functions'!$B$5:$G$1205,4,FALSE)</f>
        <v>0.251</v>
      </c>
      <c r="BN199" s="25">
        <f t="shared" si="85"/>
        <v>3.6372020636280982</v>
      </c>
      <c r="BO199" s="25">
        <f t="shared" si="90"/>
        <v>17.147851231161866</v>
      </c>
      <c r="BP199" s="20">
        <f t="shared" si="71"/>
        <v>880</v>
      </c>
      <c r="BQ199" s="20">
        <f t="shared" si="71"/>
        <v>202.15363229346781</v>
      </c>
      <c r="BR199" s="25">
        <f>VLOOKUP(BP199,'Hazard Weighting Functions'!$B$5:$G$1205,4,FALSE)</f>
        <v>0.437</v>
      </c>
      <c r="BS199" s="25">
        <f t="shared" si="86"/>
        <v>88.341137312245436</v>
      </c>
      <c r="BT199" s="25">
        <f t="shared" si="87"/>
        <v>414.61879896458902</v>
      </c>
    </row>
    <row r="200" spans="2:72">
      <c r="B200" s="25">
        <v>755</v>
      </c>
      <c r="C200" s="36">
        <v>3.7935081889897693</v>
      </c>
      <c r="E200" s="25">
        <v>755</v>
      </c>
      <c r="F200" s="36"/>
      <c r="H200" s="25">
        <v>755</v>
      </c>
      <c r="I200" s="36"/>
      <c r="K200" s="25">
        <v>1855</v>
      </c>
      <c r="L200" s="36"/>
      <c r="N200" s="25">
        <v>1005</v>
      </c>
      <c r="O200" s="36">
        <v>13.150769097292443</v>
      </c>
      <c r="Q200" s="20">
        <v>885</v>
      </c>
      <c r="R200" s="36">
        <v>181.51377581637044</v>
      </c>
      <c r="V200" s="25">
        <f t="shared" si="72"/>
        <v>755</v>
      </c>
      <c r="W200" s="25">
        <f t="shared" si="72"/>
        <v>3.7935081889897693</v>
      </c>
      <c r="Y200" s="25">
        <f t="shared" si="73"/>
        <v>755</v>
      </c>
      <c r="Z200" s="25">
        <f t="shared" si="73"/>
        <v>3.7935081889897693</v>
      </c>
      <c r="AA200" s="25">
        <f>VLOOKUP(Y200,'Hazard Weighting Functions'!$B$5:$G$1205,2,FALSE)</f>
        <v>0</v>
      </c>
      <c r="AB200" s="25">
        <f t="shared" si="74"/>
        <v>0</v>
      </c>
      <c r="AC200" s="25">
        <f t="shared" si="75"/>
        <v>0</v>
      </c>
      <c r="AE200" s="25">
        <f>VLOOKUP(Y200,'Hazard Weighting Functions'!$B$5:$G$1205,3,FALSE)</f>
        <v>0</v>
      </c>
      <c r="AF200" s="25">
        <f t="shared" si="76"/>
        <v>0</v>
      </c>
      <c r="AG200" s="25">
        <f t="shared" si="77"/>
        <v>0</v>
      </c>
      <c r="AH200" s="25">
        <f>VLOOKUP(Y200,'Hazard Weighting Functions'!$B$5:$G$1205,5,FALSE)</f>
        <v>8.4800000000000001E-5</v>
      </c>
      <c r="AI200" s="25">
        <f t="shared" si="78"/>
        <v>3.2168949442633245E-4</v>
      </c>
      <c r="AJ200" s="25">
        <f t="shared" si="79"/>
        <v>1.2723677565994827E-3</v>
      </c>
      <c r="AM200" s="25">
        <f t="shared" si="89"/>
        <v>17.286170814701947</v>
      </c>
      <c r="BF200" s="1"/>
      <c r="BG200" s="1"/>
      <c r="BK200" s="1">
        <f t="shared" si="70"/>
        <v>1005</v>
      </c>
      <c r="BL200" s="20">
        <f t="shared" si="70"/>
        <v>13.150769097292443</v>
      </c>
      <c r="BM200" s="25">
        <f>VLOOKUP(BK200,'Hazard Weighting Functions'!$B$5:$G$1205,4,FALSE)</f>
        <v>0.245</v>
      </c>
      <c r="BN200" s="25">
        <f t="shared" si="85"/>
        <v>3.2219384288366486</v>
      </c>
      <c r="BO200" s="25">
        <f t="shared" si="90"/>
        <v>15.225812791491556</v>
      </c>
      <c r="BP200" s="20">
        <f t="shared" si="71"/>
        <v>885</v>
      </c>
      <c r="BQ200" s="20">
        <f t="shared" si="71"/>
        <v>181.51377581637044</v>
      </c>
      <c r="BR200" s="25">
        <f>VLOOKUP(BP200,'Hazard Weighting Functions'!$B$5:$G$1205,4,FALSE)</f>
        <v>0.42699999999999999</v>
      </c>
      <c r="BS200" s="25">
        <f t="shared" si="86"/>
        <v>77.506382273590177</v>
      </c>
      <c r="BT200" s="25">
        <f t="shared" si="87"/>
        <v>358.10853568529382</v>
      </c>
    </row>
    <row r="201" spans="2:72">
      <c r="B201" s="25">
        <v>760</v>
      </c>
      <c r="C201" s="36">
        <v>3.1209601368910107</v>
      </c>
      <c r="E201" s="25">
        <v>760</v>
      </c>
      <c r="F201" s="36"/>
      <c r="H201" s="25">
        <v>760</v>
      </c>
      <c r="I201" s="36"/>
      <c r="K201" s="25">
        <v>1860</v>
      </c>
      <c r="L201" s="36"/>
      <c r="N201" s="25">
        <v>1010</v>
      </c>
      <c r="O201" s="36">
        <v>11.95161119899989</v>
      </c>
      <c r="Q201" s="20">
        <v>890</v>
      </c>
      <c r="R201" s="36">
        <v>157.64276259119268</v>
      </c>
      <c r="V201" s="25">
        <f t="shared" si="72"/>
        <v>760</v>
      </c>
      <c r="W201" s="25">
        <f t="shared" si="72"/>
        <v>3.1209601368910107</v>
      </c>
      <c r="Y201" s="25">
        <f t="shared" si="73"/>
        <v>760</v>
      </c>
      <c r="Z201" s="25">
        <f t="shared" si="73"/>
        <v>3.1209601368910107</v>
      </c>
      <c r="AA201" s="25">
        <f>VLOOKUP(Y201,'Hazard Weighting Functions'!$B$5:$G$1205,2,FALSE)</f>
        <v>0</v>
      </c>
      <c r="AB201" s="25">
        <f t="shared" si="74"/>
        <v>0</v>
      </c>
      <c r="AC201" s="25">
        <f t="shared" si="75"/>
        <v>0</v>
      </c>
      <c r="AE201" s="25">
        <f>VLOOKUP(Y201,'Hazard Weighting Functions'!$B$5:$G$1205,3,FALSE)</f>
        <v>0</v>
      </c>
      <c r="AF201" s="25">
        <f t="shared" si="76"/>
        <v>0</v>
      </c>
      <c r="AG201" s="25">
        <f t="shared" si="77"/>
        <v>0</v>
      </c>
      <c r="AH201" s="25">
        <f>VLOOKUP(Y201,'Hazard Weighting Functions'!$B$5:$G$1205,5,FALSE)</f>
        <v>6.0000000000000002E-5</v>
      </c>
      <c r="AI201" s="25">
        <f t="shared" si="78"/>
        <v>1.8725760821346063E-4</v>
      </c>
      <c r="AJ201" s="25">
        <f t="shared" si="79"/>
        <v>7.6960931308872182E-4</v>
      </c>
      <c r="AM201" s="25">
        <f t="shared" si="89"/>
        <v>14.912430827016918</v>
      </c>
      <c r="BF201" s="1"/>
      <c r="BG201" s="1"/>
      <c r="BK201" s="1">
        <f t="shared" si="70"/>
        <v>1010</v>
      </c>
      <c r="BL201" s="20">
        <f t="shared" si="70"/>
        <v>11.95161119899989</v>
      </c>
      <c r="BM201" s="25">
        <f>VLOOKUP(BK201,'Hazard Weighting Functions'!$B$5:$G$1205,4,FALSE)</f>
        <v>0.24</v>
      </c>
      <c r="BN201" s="25">
        <f t="shared" si="85"/>
        <v>2.8683866877599735</v>
      </c>
      <c r="BO201" s="25">
        <f t="shared" si="90"/>
        <v>13.668619535813132</v>
      </c>
      <c r="BP201" s="20">
        <f t="shared" si="71"/>
        <v>890</v>
      </c>
      <c r="BQ201" s="20">
        <f t="shared" si="71"/>
        <v>157.64276259119268</v>
      </c>
      <c r="BR201" s="25">
        <f>VLOOKUP(BP201,'Hazard Weighting Functions'!$B$5:$G$1205,4,FALSE)</f>
        <v>0.41699999999999998</v>
      </c>
      <c r="BS201" s="25">
        <f t="shared" si="86"/>
        <v>65.73703200052735</v>
      </c>
      <c r="BT201" s="25">
        <f t="shared" si="87"/>
        <v>310.35724168288402</v>
      </c>
    </row>
    <row r="202" spans="2:72">
      <c r="B202" s="25">
        <v>765</v>
      </c>
      <c r="C202" s="36">
        <v>2.8440121939157565</v>
      </c>
      <c r="E202" s="25">
        <v>765</v>
      </c>
      <c r="F202" s="36"/>
      <c r="H202" s="25">
        <v>765</v>
      </c>
      <c r="I202" s="36"/>
      <c r="K202" s="25">
        <v>1865</v>
      </c>
      <c r="L202" s="36"/>
      <c r="N202" s="25">
        <v>1015</v>
      </c>
      <c r="O202" s="36">
        <v>11.107098831475552</v>
      </c>
      <c r="Q202" s="20">
        <v>895</v>
      </c>
      <c r="R202" s="36">
        <v>143.50335300399573</v>
      </c>
      <c r="V202" s="25">
        <f t="shared" si="72"/>
        <v>765</v>
      </c>
      <c r="W202" s="25">
        <f t="shared" si="72"/>
        <v>2.8440121939157565</v>
      </c>
      <c r="Y202" s="25">
        <f t="shared" si="73"/>
        <v>765</v>
      </c>
      <c r="Z202" s="25">
        <f t="shared" si="73"/>
        <v>2.8440121939157565</v>
      </c>
      <c r="AA202" s="25">
        <f>VLOOKUP(Y202,'Hazard Weighting Functions'!$B$5:$G$1205,2,FALSE)</f>
        <v>0</v>
      </c>
      <c r="AB202" s="25">
        <f t="shared" si="74"/>
        <v>0</v>
      </c>
      <c r="AC202" s="25">
        <f t="shared" si="75"/>
        <v>0</v>
      </c>
      <c r="AE202" s="25">
        <f>VLOOKUP(Y202,'Hazard Weighting Functions'!$B$5:$G$1205,3,FALSE)</f>
        <v>0</v>
      </c>
      <c r="AF202" s="25">
        <f t="shared" si="76"/>
        <v>0</v>
      </c>
      <c r="AG202" s="25">
        <f t="shared" si="77"/>
        <v>0</v>
      </c>
      <c r="AH202" s="25">
        <f>VLOOKUP(Y202,'Hazard Weighting Functions'!$B$5:$G$1205,5,FALSE)</f>
        <v>4.2400000000000001E-5</v>
      </c>
      <c r="AI202" s="25">
        <f t="shared" si="78"/>
        <v>1.2058611702202808E-4</v>
      </c>
      <c r="AJ202" s="25">
        <f t="shared" si="79"/>
        <v>5.0745246878908159E-4</v>
      </c>
      <c r="AM202" s="25">
        <f t="shared" si="89"/>
        <v>13.976269692589774</v>
      </c>
      <c r="BF202" s="1"/>
      <c r="BG202" s="1"/>
      <c r="BK202" s="1">
        <f t="shared" si="70"/>
        <v>1015</v>
      </c>
      <c r="BL202" s="20">
        <f t="shared" si="70"/>
        <v>11.107098831475552</v>
      </c>
      <c r="BM202" s="25">
        <f>VLOOKUP(BK202,'Hazard Weighting Functions'!$B$5:$G$1205,4,FALSE)</f>
        <v>0.23400000000000001</v>
      </c>
      <c r="BN202" s="25">
        <f t="shared" si="85"/>
        <v>2.5990611265652794</v>
      </c>
      <c r="BO202" s="25">
        <f t="shared" si="90"/>
        <v>12.206469619091713</v>
      </c>
      <c r="BP202" s="20">
        <f t="shared" si="71"/>
        <v>895</v>
      </c>
      <c r="BQ202" s="20">
        <f t="shared" si="71"/>
        <v>143.50335300399573</v>
      </c>
      <c r="BR202" s="25">
        <f>VLOOKUP(BP202,'Hazard Weighting Functions'!$B$5:$G$1205,4,FALSE)</f>
        <v>0.40699999999999997</v>
      </c>
      <c r="BS202" s="25">
        <f t="shared" si="86"/>
        <v>58.405864672626258</v>
      </c>
      <c r="BT202" s="25">
        <f t="shared" si="87"/>
        <v>271.74018503274328</v>
      </c>
    </row>
    <row r="203" spans="2:72">
      <c r="B203" s="25">
        <v>770</v>
      </c>
      <c r="C203" s="36">
        <v>2.7464956831201524</v>
      </c>
      <c r="E203" s="25">
        <v>770</v>
      </c>
      <c r="F203" s="36"/>
      <c r="H203" s="25">
        <v>770</v>
      </c>
      <c r="I203" s="36"/>
      <c r="K203" s="25">
        <v>1870</v>
      </c>
      <c r="L203" s="36"/>
      <c r="N203" s="25">
        <v>1020</v>
      </c>
      <c r="O203" s="36">
        <v>9.9717324064253532</v>
      </c>
      <c r="Q203" s="20">
        <v>900</v>
      </c>
      <c r="R203" s="36">
        <v>126.35730990068099</v>
      </c>
      <c r="V203" s="25">
        <f t="shared" si="72"/>
        <v>770</v>
      </c>
      <c r="W203" s="25">
        <f t="shared" si="72"/>
        <v>2.7464956831201524</v>
      </c>
      <c r="Y203" s="25">
        <f t="shared" si="73"/>
        <v>770</v>
      </c>
      <c r="Z203" s="25">
        <f t="shared" si="73"/>
        <v>2.7464956831201524</v>
      </c>
      <c r="AA203" s="25">
        <f>VLOOKUP(Y203,'Hazard Weighting Functions'!$B$5:$G$1205,2,FALSE)</f>
        <v>0</v>
      </c>
      <c r="AB203" s="25">
        <f t="shared" si="74"/>
        <v>0</v>
      </c>
      <c r="AC203" s="25">
        <f t="shared" si="75"/>
        <v>0</v>
      </c>
      <c r="AE203" s="25">
        <f>VLOOKUP(Y203,'Hazard Weighting Functions'!$B$5:$G$1205,3,FALSE)</f>
        <v>0</v>
      </c>
      <c r="AF203" s="25">
        <f t="shared" si="76"/>
        <v>0</v>
      </c>
      <c r="AG203" s="25">
        <f t="shared" si="77"/>
        <v>0</v>
      </c>
      <c r="AH203" s="25">
        <f>VLOOKUP(Y203,'Hazard Weighting Functions'!$B$5:$G$1205,5,FALSE)</f>
        <v>3.0000000000000001E-5</v>
      </c>
      <c r="AI203" s="25">
        <f t="shared" si="78"/>
        <v>8.2394870493604578E-5</v>
      </c>
      <c r="AJ203" s="25">
        <f t="shared" si="79"/>
        <v>3.3825989682887694E-4</v>
      </c>
      <c r="AM203" s="25">
        <f t="shared" si="89"/>
        <v>13.105518481143093</v>
      </c>
      <c r="BF203" s="1"/>
      <c r="BG203" s="1"/>
      <c r="BK203" s="1">
        <f t="shared" si="70"/>
        <v>1020</v>
      </c>
      <c r="BL203" s="20">
        <f t="shared" si="70"/>
        <v>9.9717324064253532</v>
      </c>
      <c r="BM203" s="25">
        <f>VLOOKUP(BK203,'Hazard Weighting Functions'!$B$5:$G$1205,4,FALSE)</f>
        <v>0.22900000000000001</v>
      </c>
      <c r="BN203" s="25">
        <f t="shared" si="85"/>
        <v>2.2835267210714059</v>
      </c>
      <c r="BO203" s="25">
        <f t="shared" si="90"/>
        <v>10.847706228118703</v>
      </c>
      <c r="BP203" s="20">
        <f t="shared" si="71"/>
        <v>900</v>
      </c>
      <c r="BQ203" s="20">
        <f t="shared" si="71"/>
        <v>126.35730990068099</v>
      </c>
      <c r="BR203" s="25">
        <f>VLOOKUP(BP203,'Hazard Weighting Functions'!$B$5:$G$1205,4,FALSE)</f>
        <v>0.39800000000000002</v>
      </c>
      <c r="BS203" s="25">
        <f t="shared" si="86"/>
        <v>50.290209340471037</v>
      </c>
      <c r="BT203" s="25">
        <f t="shared" si="87"/>
        <v>237.39004168293579</v>
      </c>
    </row>
    <row r="204" spans="2:72">
      <c r="B204" s="25">
        <v>775</v>
      </c>
      <c r="C204" s="36">
        <v>2.4957117093370846</v>
      </c>
      <c r="E204" s="25">
        <v>775</v>
      </c>
      <c r="F204" s="36"/>
      <c r="H204" s="25">
        <v>775</v>
      </c>
      <c r="I204" s="36"/>
      <c r="K204" s="25">
        <v>1875</v>
      </c>
      <c r="L204" s="36"/>
      <c r="N204" s="25">
        <v>1025</v>
      </c>
      <c r="O204" s="36">
        <v>9.1765882597146238</v>
      </c>
      <c r="Q204" s="20">
        <v>905</v>
      </c>
      <c r="R204" s="36">
        <v>114.82212681928864</v>
      </c>
      <c r="V204" s="25">
        <f t="shared" si="72"/>
        <v>775</v>
      </c>
      <c r="W204" s="25">
        <f t="shared" si="72"/>
        <v>2.4957117093370846</v>
      </c>
      <c r="Y204" s="25">
        <f t="shared" si="73"/>
        <v>775</v>
      </c>
      <c r="Z204" s="25">
        <f t="shared" si="73"/>
        <v>2.4957117093370846</v>
      </c>
      <c r="AA204" s="25">
        <f>VLOOKUP(Y204,'Hazard Weighting Functions'!$B$5:$G$1205,2,FALSE)</f>
        <v>0</v>
      </c>
      <c r="AB204" s="25">
        <f t="shared" si="74"/>
        <v>0</v>
      </c>
      <c r="AC204" s="25">
        <f t="shared" si="75"/>
        <v>0</v>
      </c>
      <c r="AE204" s="25">
        <f>VLOOKUP(Y204,'Hazard Weighting Functions'!$B$5:$G$1205,3,FALSE)</f>
        <v>0</v>
      </c>
      <c r="AF204" s="25">
        <f t="shared" si="76"/>
        <v>0</v>
      </c>
      <c r="AG204" s="25">
        <f t="shared" si="77"/>
        <v>0</v>
      </c>
      <c r="AH204" s="25">
        <f>VLOOKUP(Y204,'Hazard Weighting Functions'!$B$5:$G$1205,5,FALSE)</f>
        <v>2.12E-5</v>
      </c>
      <c r="AI204" s="25">
        <f t="shared" si="78"/>
        <v>5.2909088237946197E-5</v>
      </c>
      <c r="AJ204" s="25">
        <f t="shared" si="79"/>
        <v>2.1600093102680415E-4</v>
      </c>
      <c r="AM204" s="25">
        <f t="shared" si="89"/>
        <v>11.824883705093123</v>
      </c>
      <c r="BF204" s="1"/>
      <c r="BG204" s="1"/>
      <c r="BK204" s="1">
        <f t="shared" si="70"/>
        <v>1025</v>
      </c>
      <c r="BL204" s="20">
        <f t="shared" si="70"/>
        <v>9.1765882597146238</v>
      </c>
      <c r="BM204" s="25">
        <f>VLOOKUP(BK204,'Hazard Weighting Functions'!$B$5:$G$1205,4,FALSE)</f>
        <v>0.224</v>
      </c>
      <c r="BN204" s="25">
        <f t="shared" si="85"/>
        <v>2.0555557701760758</v>
      </c>
      <c r="BO204" s="25">
        <f t="shared" si="90"/>
        <v>9.7354526902665768</v>
      </c>
      <c r="BP204" s="20">
        <f t="shared" si="71"/>
        <v>905</v>
      </c>
      <c r="BQ204" s="20">
        <f t="shared" si="71"/>
        <v>114.82212681928864</v>
      </c>
      <c r="BR204" s="25">
        <f>VLOOKUP(BP204,'Hazard Weighting Functions'!$B$5:$G$1205,4,FALSE)</f>
        <v>0.38900000000000001</v>
      </c>
      <c r="BS204" s="25">
        <f t="shared" si="86"/>
        <v>44.665807332703281</v>
      </c>
      <c r="BT204" s="25">
        <f t="shared" si="87"/>
        <v>209.61926606629376</v>
      </c>
    </row>
    <row r="205" spans="2:72">
      <c r="B205" s="25">
        <v>780</v>
      </c>
      <c r="C205" s="36">
        <v>2.2342417727001642</v>
      </c>
      <c r="E205" s="25">
        <v>780</v>
      </c>
      <c r="F205" s="36"/>
      <c r="H205" s="25">
        <v>780</v>
      </c>
      <c r="I205" s="36"/>
      <c r="K205" s="25">
        <v>1880</v>
      </c>
      <c r="L205" s="36"/>
      <c r="N205" s="25">
        <v>1030</v>
      </c>
      <c r="O205" s="36">
        <v>8.3955493421486516</v>
      </c>
      <c r="Q205" s="20">
        <v>910</v>
      </c>
      <c r="R205" s="36">
        <v>103.11026077319534</v>
      </c>
      <c r="V205" s="25">
        <f t="shared" si="72"/>
        <v>780</v>
      </c>
      <c r="W205" s="25">
        <f t="shared" si="72"/>
        <v>2.2342417727001642</v>
      </c>
      <c r="Y205" s="25">
        <f t="shared" si="73"/>
        <v>780</v>
      </c>
      <c r="Z205" s="25">
        <f t="shared" si="73"/>
        <v>2.2342417727001642</v>
      </c>
      <c r="AA205" s="25">
        <f>VLOOKUP(Y205,'Hazard Weighting Functions'!$B$5:$G$1205,2,FALSE)</f>
        <v>0</v>
      </c>
      <c r="AB205" s="25">
        <f t="shared" si="74"/>
        <v>0</v>
      </c>
      <c r="AC205" s="25">
        <f t="shared" si="75"/>
        <v>0</v>
      </c>
      <c r="AE205" s="25">
        <f>VLOOKUP(Y205,'Hazard Weighting Functions'!$B$5:$G$1205,3,FALSE)</f>
        <v>0</v>
      </c>
      <c r="AF205" s="25">
        <f t="shared" si="76"/>
        <v>0</v>
      </c>
      <c r="AG205" s="25">
        <f t="shared" si="77"/>
        <v>0</v>
      </c>
      <c r="AH205" s="25">
        <f>VLOOKUP(Y205,'Hazard Weighting Functions'!$B$5:$G$1205,5,FALSE)</f>
        <v>1.499E-5</v>
      </c>
      <c r="AI205" s="25">
        <f t="shared" si="78"/>
        <v>3.3491284172775462E-5</v>
      </c>
      <c r="AK205" s="25">
        <f t="shared" ref="AK205:AK268" si="91">0.5*(V206-V205)*(W205+W206)</f>
        <v>10.671654445971118</v>
      </c>
      <c r="AM205" s="25">
        <f t="shared" si="89"/>
        <v>10.671654445971118</v>
      </c>
      <c r="BF205" s="1"/>
      <c r="BG205" s="1"/>
      <c r="BK205" s="1">
        <f t="shared" si="70"/>
        <v>1030</v>
      </c>
      <c r="BL205" s="20">
        <f t="shared" si="70"/>
        <v>8.3955493421486516</v>
      </c>
      <c r="BM205" s="25">
        <f>VLOOKUP(BK205,'Hazard Weighting Functions'!$B$5:$G$1205,4,FALSE)</f>
        <v>0.219</v>
      </c>
      <c r="BN205" s="25">
        <f t="shared" si="85"/>
        <v>1.8386253059305546</v>
      </c>
      <c r="BO205" s="25">
        <f t="shared" si="90"/>
        <v>8.6949045439930188</v>
      </c>
      <c r="BP205" s="20">
        <f t="shared" si="71"/>
        <v>910</v>
      </c>
      <c r="BQ205" s="20">
        <f t="shared" si="71"/>
        <v>103.11026077319534</v>
      </c>
      <c r="BR205" s="25">
        <f>VLOOKUP(BP205,'Hazard Weighting Functions'!$B$5:$G$1205,4,FALSE)</f>
        <v>0.38</v>
      </c>
      <c r="BS205" s="25">
        <f t="shared" si="86"/>
        <v>39.181899093814231</v>
      </c>
      <c r="BT205" s="25">
        <f t="shared" si="87"/>
        <v>184.26272843581444</v>
      </c>
    </row>
    <row r="206" spans="2:72">
      <c r="B206" s="25">
        <v>785</v>
      </c>
      <c r="C206" s="36">
        <v>2.0344200056882831</v>
      </c>
      <c r="E206" s="25">
        <v>785</v>
      </c>
      <c r="F206" s="36"/>
      <c r="H206" s="25">
        <v>785</v>
      </c>
      <c r="I206" s="36"/>
      <c r="K206" s="25">
        <v>1885</v>
      </c>
      <c r="L206" s="36"/>
      <c r="N206" s="25">
        <v>1035</v>
      </c>
      <c r="O206" s="36">
        <v>7.6604509890965105</v>
      </c>
      <c r="Q206" s="20">
        <v>915</v>
      </c>
      <c r="R206" s="36">
        <v>92.804280323955751</v>
      </c>
      <c r="V206" s="25">
        <f t="shared" si="72"/>
        <v>785</v>
      </c>
      <c r="W206" s="25">
        <f t="shared" si="72"/>
        <v>2.0344200056882831</v>
      </c>
      <c r="Y206" s="25">
        <f t="shared" si="73"/>
        <v>785</v>
      </c>
      <c r="Z206" s="25">
        <f t="shared" si="73"/>
        <v>2.0344200056882831</v>
      </c>
      <c r="AA206" s="25">
        <f>VLOOKUP(Y206,'Hazard Weighting Functions'!$B$5:$G$1205,2,FALSE)</f>
        <v>0</v>
      </c>
      <c r="AB206" s="25">
        <f t="shared" si="74"/>
        <v>0</v>
      </c>
      <c r="AC206" s="25">
        <f t="shared" si="75"/>
        <v>0</v>
      </c>
      <c r="AE206" s="25">
        <f>VLOOKUP(Y206,'Hazard Weighting Functions'!$B$5:$G$1205,3,FALSE)</f>
        <v>0</v>
      </c>
      <c r="AF206" s="25">
        <f t="shared" si="76"/>
        <v>0</v>
      </c>
      <c r="AG206" s="25">
        <f t="shared" si="77"/>
        <v>0</v>
      </c>
      <c r="AH206" s="25">
        <f>VLOOKUP(Y206,'Hazard Weighting Functions'!$B$5:$G$1205,5,FALSE)</f>
        <v>0</v>
      </c>
      <c r="AI206" s="25">
        <f t="shared" si="78"/>
        <v>0</v>
      </c>
      <c r="AJ206" s="25">
        <f t="shared" si="79"/>
        <v>0</v>
      </c>
      <c r="AK206" s="25">
        <f t="shared" si="91"/>
        <v>9.6173990374044287</v>
      </c>
      <c r="AM206" s="25">
        <f t="shared" si="89"/>
        <v>9.6173990374044287</v>
      </c>
      <c r="BF206" s="1"/>
      <c r="BG206" s="1"/>
      <c r="BK206" s="1">
        <f t="shared" si="70"/>
        <v>1035</v>
      </c>
      <c r="BL206" s="20">
        <f t="shared" si="70"/>
        <v>7.6604509890965105</v>
      </c>
      <c r="BM206" s="25">
        <f>VLOOKUP(BK206,'Hazard Weighting Functions'!$B$5:$G$1205,4,FALSE)</f>
        <v>0.214</v>
      </c>
      <c r="BN206" s="25">
        <f t="shared" si="85"/>
        <v>1.6393365116666532</v>
      </c>
      <c r="BO206" s="25">
        <f t="shared" si="90"/>
        <v>7.7817434010727133</v>
      </c>
      <c r="BP206" s="20">
        <f t="shared" si="71"/>
        <v>915</v>
      </c>
      <c r="BQ206" s="20">
        <f t="shared" si="71"/>
        <v>92.804280323955751</v>
      </c>
      <c r="BR206" s="25">
        <f>VLOOKUP(BP206,'Hazard Weighting Functions'!$B$5:$G$1205,4,FALSE)</f>
        <v>0.372</v>
      </c>
      <c r="BS206" s="25">
        <f t="shared" si="86"/>
        <v>34.523192280511537</v>
      </c>
      <c r="BT206" s="25">
        <f t="shared" si="87"/>
        <v>163.21302107886342</v>
      </c>
    </row>
    <row r="207" spans="2:72">
      <c r="B207" s="25">
        <v>790</v>
      </c>
      <c r="C207" s="36">
        <v>1.812539609273488</v>
      </c>
      <c r="E207" s="25">
        <v>790</v>
      </c>
      <c r="F207" s="36"/>
      <c r="H207" s="25">
        <v>790</v>
      </c>
      <c r="I207" s="36"/>
      <c r="K207" s="25">
        <v>1890</v>
      </c>
      <c r="L207" s="36"/>
      <c r="N207" s="25">
        <v>1040</v>
      </c>
      <c r="O207" s="36">
        <v>7.0495734390546998</v>
      </c>
      <c r="Q207" s="20">
        <v>920</v>
      </c>
      <c r="R207" s="36">
        <v>84.743846146098718</v>
      </c>
      <c r="V207" s="25">
        <f t="shared" si="72"/>
        <v>790</v>
      </c>
      <c r="W207" s="25">
        <f t="shared" si="72"/>
        <v>1.812539609273488</v>
      </c>
      <c r="Y207" s="25">
        <f t="shared" si="73"/>
        <v>790</v>
      </c>
      <c r="Z207" s="25">
        <f t="shared" si="73"/>
        <v>1.812539609273488</v>
      </c>
      <c r="AA207" s="25">
        <f>VLOOKUP(Y207,'Hazard Weighting Functions'!$B$5:$G$1205,2,FALSE)</f>
        <v>0</v>
      </c>
      <c r="AB207" s="25">
        <f t="shared" si="74"/>
        <v>0</v>
      </c>
      <c r="AC207" s="25">
        <f t="shared" si="75"/>
        <v>0</v>
      </c>
      <c r="AE207" s="25">
        <f>VLOOKUP(Y207,'Hazard Weighting Functions'!$B$5:$G$1205,3,FALSE)</f>
        <v>0</v>
      </c>
      <c r="AF207" s="25">
        <f t="shared" si="76"/>
        <v>0</v>
      </c>
      <c r="AG207" s="25">
        <f t="shared" si="77"/>
        <v>0</v>
      </c>
      <c r="AH207" s="25">
        <f>VLOOKUP(Y207,'Hazard Weighting Functions'!$B$5:$G$1205,5,FALSE)</f>
        <v>0</v>
      </c>
      <c r="AI207" s="25">
        <f t="shared" si="78"/>
        <v>0</v>
      </c>
      <c r="AJ207" s="25">
        <f t="shared" si="79"/>
        <v>0</v>
      </c>
      <c r="AK207" s="25">
        <f t="shared" si="91"/>
        <v>8.626165268049359</v>
      </c>
      <c r="AM207" s="25">
        <f t="shared" si="89"/>
        <v>8.626165268049359</v>
      </c>
      <c r="BF207" s="1"/>
      <c r="BG207" s="1"/>
      <c r="BK207" s="1">
        <f t="shared" si="70"/>
        <v>1040</v>
      </c>
      <c r="BL207" s="20">
        <f t="shared" si="70"/>
        <v>7.0495734390546998</v>
      </c>
      <c r="BM207" s="25">
        <f>VLOOKUP(BK207,'Hazard Weighting Functions'!$B$5:$G$1205,4,FALSE)</f>
        <v>0.20899999999999999</v>
      </c>
      <c r="BN207" s="25">
        <f t="shared" si="85"/>
        <v>1.4733608487624321</v>
      </c>
      <c r="BO207" s="25">
        <f t="shared" si="90"/>
        <v>6.9687115654759211</v>
      </c>
      <c r="BP207" s="20">
        <f t="shared" si="71"/>
        <v>920</v>
      </c>
      <c r="BQ207" s="20">
        <f t="shared" si="71"/>
        <v>84.743846146098718</v>
      </c>
      <c r="BR207" s="25">
        <f>VLOOKUP(BP207,'Hazard Weighting Functions'!$B$5:$G$1205,4,FALSE)</f>
        <v>0.36299999999999999</v>
      </c>
      <c r="BS207" s="25">
        <f t="shared" si="86"/>
        <v>30.762016151033833</v>
      </c>
      <c r="BT207" s="25">
        <f t="shared" si="87"/>
        <v>144.84022452377076</v>
      </c>
    </row>
    <row r="208" spans="2:72">
      <c r="B208" s="25">
        <v>795</v>
      </c>
      <c r="C208" s="36">
        <v>1.6379264979462558</v>
      </c>
      <c r="E208" s="25">
        <v>795</v>
      </c>
      <c r="F208" s="36"/>
      <c r="H208" s="25">
        <v>795</v>
      </c>
      <c r="I208" s="36"/>
      <c r="K208" s="25">
        <v>1895</v>
      </c>
      <c r="L208" s="36"/>
      <c r="N208" s="25">
        <v>1045</v>
      </c>
      <c r="O208" s="36">
        <v>6.441783222685963</v>
      </c>
      <c r="Q208" s="20">
        <v>925</v>
      </c>
      <c r="R208" s="36">
        <v>76.546686361899916</v>
      </c>
      <c r="V208" s="25">
        <f t="shared" si="72"/>
        <v>795</v>
      </c>
      <c r="W208" s="25">
        <f t="shared" si="72"/>
        <v>1.6379264979462558</v>
      </c>
      <c r="Y208" s="25">
        <f t="shared" si="73"/>
        <v>795</v>
      </c>
      <c r="Z208" s="25">
        <f t="shared" si="73"/>
        <v>1.6379264979462558</v>
      </c>
      <c r="AA208" s="25">
        <f>VLOOKUP(Y208,'Hazard Weighting Functions'!$B$5:$G$1205,2,FALSE)</f>
        <v>0</v>
      </c>
      <c r="AB208" s="25">
        <f t="shared" si="74"/>
        <v>0</v>
      </c>
      <c r="AC208" s="25">
        <f t="shared" si="75"/>
        <v>0</v>
      </c>
      <c r="AE208" s="25">
        <f>VLOOKUP(Y208,'Hazard Weighting Functions'!$B$5:$G$1205,3,FALSE)</f>
        <v>0</v>
      </c>
      <c r="AF208" s="25">
        <f t="shared" si="76"/>
        <v>0</v>
      </c>
      <c r="AG208" s="25">
        <f t="shared" si="77"/>
        <v>0</v>
      </c>
      <c r="AH208" s="25">
        <f>VLOOKUP(Y208,'Hazard Weighting Functions'!$B$5:$G$1205,5,FALSE)</f>
        <v>0</v>
      </c>
      <c r="AI208" s="25">
        <f t="shared" si="78"/>
        <v>0</v>
      </c>
      <c r="AJ208" s="25">
        <f t="shared" si="79"/>
        <v>0</v>
      </c>
      <c r="AK208" s="25">
        <f t="shared" si="91"/>
        <v>7.8418883262472461</v>
      </c>
      <c r="AM208" s="25">
        <f t="shared" si="89"/>
        <v>7.8418883262472461</v>
      </c>
      <c r="BF208" s="1"/>
      <c r="BG208" s="1"/>
      <c r="BK208" s="1">
        <f t="shared" si="70"/>
        <v>1045</v>
      </c>
      <c r="BL208" s="20">
        <f t="shared" si="70"/>
        <v>6.441783222685963</v>
      </c>
      <c r="BM208" s="25">
        <f>VLOOKUP(BK208,'Hazard Weighting Functions'!$B$5:$G$1205,4,FALSE)</f>
        <v>0.20399999999999999</v>
      </c>
      <c r="BN208" s="25">
        <f t="shared" si="85"/>
        <v>1.3141237774279364</v>
      </c>
      <c r="BO208" s="25">
        <f t="shared" si="90"/>
        <v>6.2639103117033512</v>
      </c>
      <c r="BP208" s="20">
        <f t="shared" si="71"/>
        <v>925</v>
      </c>
      <c r="BQ208" s="20">
        <f t="shared" si="71"/>
        <v>76.546686361899916</v>
      </c>
      <c r="BR208" s="25">
        <f>VLOOKUP(BP208,'Hazard Weighting Functions'!$B$5:$G$1205,4,FALSE)</f>
        <v>0.35499999999999998</v>
      </c>
      <c r="BS208" s="25">
        <f t="shared" si="86"/>
        <v>27.17407365847447</v>
      </c>
      <c r="BT208" s="25">
        <f t="shared" si="87"/>
        <v>126.7183817735441</v>
      </c>
    </row>
    <row r="209" spans="2:72">
      <c r="B209" s="25">
        <v>800</v>
      </c>
      <c r="C209" s="36">
        <v>1.4988288325526424</v>
      </c>
      <c r="E209" s="25">
        <v>800</v>
      </c>
      <c r="F209" s="36"/>
      <c r="H209" s="25">
        <v>800</v>
      </c>
      <c r="I209" s="36"/>
      <c r="K209" s="25">
        <v>1900</v>
      </c>
      <c r="L209" s="36"/>
      <c r="N209" s="25">
        <v>1050</v>
      </c>
      <c r="O209" s="36">
        <v>5.9572017362670193</v>
      </c>
      <c r="Q209" s="20">
        <v>930</v>
      </c>
      <c r="R209" s="36">
        <v>67.761611097818928</v>
      </c>
      <c r="V209" s="25">
        <f t="shared" si="72"/>
        <v>800</v>
      </c>
      <c r="W209" s="25">
        <f t="shared" si="72"/>
        <v>1.4988288325526424</v>
      </c>
      <c r="Y209" s="25">
        <f t="shared" si="73"/>
        <v>800</v>
      </c>
      <c r="Z209" s="25">
        <f t="shared" si="73"/>
        <v>1.4988288325526424</v>
      </c>
      <c r="AA209" s="25">
        <f>VLOOKUP(Y209,'Hazard Weighting Functions'!$B$5:$G$1205,2,FALSE)</f>
        <v>0</v>
      </c>
      <c r="AB209" s="25">
        <f t="shared" si="74"/>
        <v>0</v>
      </c>
      <c r="AC209" s="25">
        <f t="shared" si="75"/>
        <v>0</v>
      </c>
      <c r="AE209" s="25">
        <f>VLOOKUP(Y209,'Hazard Weighting Functions'!$B$5:$G$1205,3,FALSE)</f>
        <v>0</v>
      </c>
      <c r="AF209" s="25">
        <f t="shared" si="76"/>
        <v>0</v>
      </c>
      <c r="AG209" s="25">
        <f t="shared" si="77"/>
        <v>0</v>
      </c>
      <c r="AH209" s="25">
        <f>VLOOKUP(Y209,'Hazard Weighting Functions'!$B$5:$G$1205,5,FALSE)</f>
        <v>0</v>
      </c>
      <c r="AI209" s="25">
        <f t="shared" si="78"/>
        <v>0</v>
      </c>
      <c r="AJ209" s="25">
        <f t="shared" si="79"/>
        <v>0</v>
      </c>
      <c r="AK209" s="25">
        <f t="shared" si="91"/>
        <v>7.163403562426792</v>
      </c>
      <c r="AM209" s="25">
        <f t="shared" si="89"/>
        <v>7.163403562426792</v>
      </c>
      <c r="BF209" s="1"/>
      <c r="BG209" s="1"/>
      <c r="BK209" s="1">
        <f t="shared" si="70"/>
        <v>1050</v>
      </c>
      <c r="BL209" s="20">
        <f t="shared" si="70"/>
        <v>5.9572017362670193</v>
      </c>
      <c r="BM209" s="25">
        <f>VLOOKUP(BK209,'Hazard Weighting Functions'!$B$5:$G$1205,4,FALSE)</f>
        <v>0.2</v>
      </c>
      <c r="BN209" s="25">
        <f t="shared" si="85"/>
        <v>1.1914403472534039</v>
      </c>
      <c r="BO209" s="25">
        <f t="shared" si="90"/>
        <v>5.744340733481037</v>
      </c>
      <c r="BP209" s="20">
        <f t="shared" si="71"/>
        <v>930</v>
      </c>
      <c r="BQ209" s="20">
        <f t="shared" si="71"/>
        <v>67.761611097818928</v>
      </c>
      <c r="BR209" s="25">
        <f>VLOOKUP(BP209,'Hazard Weighting Functions'!$B$5:$G$1205,4,FALSE)</f>
        <v>0.34699999999999998</v>
      </c>
      <c r="BS209" s="25">
        <f t="shared" si="86"/>
        <v>23.513279050943165</v>
      </c>
      <c r="BT209" s="25">
        <f t="shared" si="87"/>
        <v>113.56284356323374</v>
      </c>
    </row>
    <row r="210" spans="2:72">
      <c r="B210" s="25">
        <v>805</v>
      </c>
      <c r="C210" s="36">
        <v>1.3665325924180745</v>
      </c>
      <c r="E210" s="25">
        <v>805</v>
      </c>
      <c r="F210" s="36"/>
      <c r="H210" s="25">
        <v>805</v>
      </c>
      <c r="I210" s="36"/>
      <c r="K210" s="25">
        <v>1905</v>
      </c>
      <c r="L210" s="36"/>
      <c r="N210" s="25">
        <v>1055</v>
      </c>
      <c r="O210" s="36">
        <v>5.5314797306950538</v>
      </c>
      <c r="Q210" s="20">
        <v>935</v>
      </c>
      <c r="R210" s="36">
        <v>64.63675036681515</v>
      </c>
      <c r="V210" s="25">
        <f t="shared" si="72"/>
        <v>805</v>
      </c>
      <c r="W210" s="25">
        <f t="shared" si="72"/>
        <v>1.3665325924180745</v>
      </c>
      <c r="Y210" s="25">
        <f t="shared" si="73"/>
        <v>805</v>
      </c>
      <c r="Z210" s="25">
        <f t="shared" si="73"/>
        <v>1.3665325924180745</v>
      </c>
      <c r="AA210" s="25">
        <f>VLOOKUP(Y210,'Hazard Weighting Functions'!$B$5:$G$1205,2,FALSE)</f>
        <v>0</v>
      </c>
      <c r="AB210" s="25">
        <f t="shared" si="74"/>
        <v>0</v>
      </c>
      <c r="AC210" s="25">
        <f t="shared" si="75"/>
        <v>0</v>
      </c>
      <c r="AE210" s="25">
        <f>VLOOKUP(Y210,'Hazard Weighting Functions'!$B$5:$G$1205,3,FALSE)</f>
        <v>0</v>
      </c>
      <c r="AF210" s="25">
        <f t="shared" si="76"/>
        <v>0</v>
      </c>
      <c r="AG210" s="25">
        <f t="shared" si="77"/>
        <v>0</v>
      </c>
      <c r="AH210" s="25">
        <f>VLOOKUP(Y210,'Hazard Weighting Functions'!$B$5:$G$1205,5,FALSE)</f>
        <v>0</v>
      </c>
      <c r="AI210" s="25">
        <f t="shared" si="78"/>
        <v>0</v>
      </c>
      <c r="AJ210" s="25">
        <f t="shared" si="79"/>
        <v>0</v>
      </c>
      <c r="AK210" s="25">
        <f t="shared" si="91"/>
        <v>6.4943661091679017</v>
      </c>
      <c r="AM210" s="25">
        <f t="shared" si="89"/>
        <v>6.4943661091679017</v>
      </c>
      <c r="BF210" s="1"/>
      <c r="BG210" s="1"/>
      <c r="BK210" s="1">
        <f t="shared" si="70"/>
        <v>1055</v>
      </c>
      <c r="BL210" s="20">
        <f t="shared" si="70"/>
        <v>5.5314797306950538</v>
      </c>
      <c r="BM210" s="25">
        <f>VLOOKUP(BK210,'Hazard Weighting Functions'!$B$5:$G$1205,4,FALSE)</f>
        <v>0.2</v>
      </c>
      <c r="BN210" s="25">
        <f t="shared" si="85"/>
        <v>1.1062959461390107</v>
      </c>
      <c r="BO210" s="25">
        <f t="shared" si="90"/>
        <v>5.3945100728936923</v>
      </c>
      <c r="BP210" s="20">
        <f t="shared" si="71"/>
        <v>935</v>
      </c>
      <c r="BQ210" s="20">
        <f t="shared" si="71"/>
        <v>64.63675036681515</v>
      </c>
      <c r="BR210" s="25">
        <f>VLOOKUP(BP210,'Hazard Weighting Functions'!$B$5:$G$1205,4,FALSE)</f>
        <v>0.33900000000000002</v>
      </c>
      <c r="BS210" s="25">
        <f t="shared" si="86"/>
        <v>21.911858374350338</v>
      </c>
      <c r="BT210" s="25">
        <f t="shared" si="87"/>
        <v>100.29612613043427</v>
      </c>
    </row>
    <row r="211" spans="2:72">
      <c r="B211" s="25">
        <v>810</v>
      </c>
      <c r="C211" s="36">
        <v>1.2312138512490862</v>
      </c>
      <c r="E211" s="25">
        <v>810</v>
      </c>
      <c r="F211" s="36"/>
      <c r="H211" s="25">
        <v>810</v>
      </c>
      <c r="I211" s="36"/>
      <c r="K211" s="25">
        <v>1910</v>
      </c>
      <c r="L211" s="36"/>
      <c r="N211" s="25">
        <v>1060</v>
      </c>
      <c r="O211" s="36">
        <v>5.2575404150923299</v>
      </c>
      <c r="Q211" s="20">
        <v>940</v>
      </c>
      <c r="R211" s="36">
        <v>55.004809902789646</v>
      </c>
      <c r="V211" s="25">
        <f t="shared" si="72"/>
        <v>810</v>
      </c>
      <c r="W211" s="25">
        <f t="shared" si="72"/>
        <v>1.2312138512490862</v>
      </c>
      <c r="Y211" s="25">
        <f t="shared" si="73"/>
        <v>810</v>
      </c>
      <c r="Z211" s="25">
        <f t="shared" si="73"/>
        <v>1.2312138512490862</v>
      </c>
      <c r="AA211" s="25">
        <f>VLOOKUP(Y211,'Hazard Weighting Functions'!$B$5:$G$1205,2,FALSE)</f>
        <v>0</v>
      </c>
      <c r="AB211" s="25">
        <f t="shared" si="74"/>
        <v>0</v>
      </c>
      <c r="AC211" s="25">
        <f t="shared" si="75"/>
        <v>0</v>
      </c>
      <c r="AE211" s="25">
        <f>VLOOKUP(Y211,'Hazard Weighting Functions'!$B$5:$G$1205,3,FALSE)</f>
        <v>0</v>
      </c>
      <c r="AF211" s="25">
        <f t="shared" si="76"/>
        <v>0</v>
      </c>
      <c r="AG211" s="25">
        <f t="shared" si="77"/>
        <v>0</v>
      </c>
      <c r="AH211" s="25">
        <f>VLOOKUP(Y211,'Hazard Weighting Functions'!$B$5:$G$1205,5,FALSE)</f>
        <v>0</v>
      </c>
      <c r="AI211" s="25">
        <f t="shared" si="78"/>
        <v>0</v>
      </c>
      <c r="AJ211" s="25">
        <f t="shared" si="79"/>
        <v>0</v>
      </c>
      <c r="AK211" s="25">
        <f t="shared" si="91"/>
        <v>5.807337552038323</v>
      </c>
      <c r="AM211" s="25">
        <f t="shared" si="89"/>
        <v>5.807337552038323</v>
      </c>
      <c r="BF211" s="1"/>
      <c r="BG211" s="1"/>
      <c r="BK211" s="1">
        <f t="shared" si="70"/>
        <v>1060</v>
      </c>
      <c r="BL211" s="20">
        <f t="shared" si="70"/>
        <v>5.2575404150923299</v>
      </c>
      <c r="BM211" s="25">
        <f>VLOOKUP(BK211,'Hazard Weighting Functions'!$B$5:$G$1205,4,FALSE)</f>
        <v>0.2</v>
      </c>
      <c r="BN211" s="25">
        <f t="shared" si="85"/>
        <v>1.051508083018466</v>
      </c>
      <c r="BO211" s="25">
        <f t="shared" si="90"/>
        <v>5.1191359251318431</v>
      </c>
      <c r="BP211" s="20">
        <f t="shared" si="71"/>
        <v>940</v>
      </c>
      <c r="BQ211" s="20">
        <f t="shared" si="71"/>
        <v>55.004809902789646</v>
      </c>
      <c r="BR211" s="25">
        <f>VLOOKUP(BP211,'Hazard Weighting Functions'!$B$5:$G$1205,4,FALSE)</f>
        <v>0.33100000000000002</v>
      </c>
      <c r="BS211" s="25">
        <f t="shared" si="86"/>
        <v>18.206592077823373</v>
      </c>
      <c r="BT211" s="25">
        <f t="shared" si="87"/>
        <v>87.451877947637925</v>
      </c>
    </row>
    <row r="212" spans="2:72">
      <c r="B212" s="25">
        <v>815</v>
      </c>
      <c r="C212" s="36">
        <v>1.0917211695662432</v>
      </c>
      <c r="E212" s="25">
        <v>815</v>
      </c>
      <c r="F212" s="36"/>
      <c r="H212" s="25">
        <v>815</v>
      </c>
      <c r="I212" s="36"/>
      <c r="K212" s="25">
        <v>1915</v>
      </c>
      <c r="L212" s="36"/>
      <c r="N212" s="25">
        <v>1065</v>
      </c>
      <c r="O212" s="36">
        <v>4.9807314351713563</v>
      </c>
      <c r="Q212" s="20">
        <v>945</v>
      </c>
      <c r="R212" s="36">
        <v>51.772095991456155</v>
      </c>
      <c r="V212" s="25">
        <f t="shared" si="72"/>
        <v>815</v>
      </c>
      <c r="W212" s="25">
        <f t="shared" si="72"/>
        <v>1.0917211695662432</v>
      </c>
      <c r="Y212" s="25">
        <f t="shared" si="73"/>
        <v>815</v>
      </c>
      <c r="Z212" s="25">
        <f t="shared" si="73"/>
        <v>1.0917211695662432</v>
      </c>
      <c r="AA212" s="25">
        <f>VLOOKUP(Y212,'Hazard Weighting Functions'!$B$5:$G$1205,2,FALSE)</f>
        <v>0</v>
      </c>
      <c r="AB212" s="25">
        <f t="shared" si="74"/>
        <v>0</v>
      </c>
      <c r="AC212" s="25">
        <f t="shared" si="75"/>
        <v>0</v>
      </c>
      <c r="AE212" s="25">
        <f>VLOOKUP(Y212,'Hazard Weighting Functions'!$B$5:$G$1205,3,FALSE)</f>
        <v>0</v>
      </c>
      <c r="AF212" s="25">
        <f t="shared" si="76"/>
        <v>0</v>
      </c>
      <c r="AG212" s="25">
        <f t="shared" si="77"/>
        <v>0</v>
      </c>
      <c r="AH212" s="25">
        <f>VLOOKUP(Y212,'Hazard Weighting Functions'!$B$5:$G$1205,5,FALSE)</f>
        <v>0</v>
      </c>
      <c r="AI212" s="25">
        <f t="shared" si="78"/>
        <v>0</v>
      </c>
      <c r="AJ212" s="25">
        <f t="shared" si="79"/>
        <v>0</v>
      </c>
      <c r="AK212" s="25">
        <f t="shared" si="91"/>
        <v>5.1454488216201968</v>
      </c>
      <c r="AM212" s="25">
        <f t="shared" si="89"/>
        <v>5.1454488216201968</v>
      </c>
      <c r="BF212" s="1"/>
      <c r="BG212" s="1"/>
      <c r="BK212" s="1">
        <f t="shared" si="70"/>
        <v>1065</v>
      </c>
      <c r="BL212" s="20">
        <f t="shared" si="70"/>
        <v>4.9807314351713563</v>
      </c>
      <c r="BM212" s="25">
        <f>VLOOKUP(BK212,'Hazard Weighting Functions'!$B$5:$G$1205,4,FALSE)</f>
        <v>0.2</v>
      </c>
      <c r="BN212" s="25">
        <f t="shared" si="85"/>
        <v>0.99614628703427133</v>
      </c>
      <c r="BO212" s="25">
        <f t="shared" si="90"/>
        <v>4.6388176826361374</v>
      </c>
      <c r="BP212" s="20">
        <f t="shared" si="71"/>
        <v>945</v>
      </c>
      <c r="BQ212" s="20">
        <f t="shared" si="71"/>
        <v>51.772095991456155</v>
      </c>
      <c r="BR212" s="25">
        <f>VLOOKUP(BP212,'Hazard Weighting Functions'!$B$5:$G$1205,4,FALSE)</f>
        <v>0.32400000000000001</v>
      </c>
      <c r="BS212" s="25">
        <f t="shared" si="86"/>
        <v>16.774159101231795</v>
      </c>
      <c r="BT212" s="25">
        <f t="shared" si="87"/>
        <v>77.714754433252878</v>
      </c>
    </row>
    <row r="213" spans="2:72">
      <c r="B213" s="25">
        <v>820</v>
      </c>
      <c r="C213" s="36">
        <v>0.96645835908183553</v>
      </c>
      <c r="E213" s="25">
        <v>820</v>
      </c>
      <c r="F213" s="36"/>
      <c r="H213" s="25">
        <v>820</v>
      </c>
      <c r="I213" s="36"/>
      <c r="K213" s="25">
        <v>1920</v>
      </c>
      <c r="L213" s="36"/>
      <c r="N213" s="25">
        <v>1070</v>
      </c>
      <c r="O213" s="36">
        <v>4.2969039301009184</v>
      </c>
      <c r="Q213" s="20">
        <v>950</v>
      </c>
      <c r="R213" s="36">
        <v>45.290324911611883</v>
      </c>
      <c r="V213" s="25">
        <f t="shared" si="72"/>
        <v>820</v>
      </c>
      <c r="W213" s="25">
        <f t="shared" si="72"/>
        <v>0.96645835908183553</v>
      </c>
      <c r="Y213" s="25">
        <f t="shared" si="73"/>
        <v>820</v>
      </c>
      <c r="Z213" s="25">
        <f t="shared" si="73"/>
        <v>0.96645835908183553</v>
      </c>
      <c r="AA213" s="25">
        <f>VLOOKUP(Y213,'Hazard Weighting Functions'!$B$5:$G$1205,2,FALSE)</f>
        <v>0</v>
      </c>
      <c r="AB213" s="25">
        <f t="shared" si="74"/>
        <v>0</v>
      </c>
      <c r="AC213" s="25">
        <f t="shared" si="75"/>
        <v>0</v>
      </c>
      <c r="AE213" s="25">
        <f>VLOOKUP(Y213,'Hazard Weighting Functions'!$B$5:$G$1205,3,FALSE)</f>
        <v>0</v>
      </c>
      <c r="AF213" s="25">
        <f t="shared" si="76"/>
        <v>0</v>
      </c>
      <c r="AG213" s="25">
        <f t="shared" si="77"/>
        <v>0</v>
      </c>
      <c r="AH213" s="25">
        <f>VLOOKUP(Y213,'Hazard Weighting Functions'!$B$5:$G$1205,5,FALSE)</f>
        <v>0</v>
      </c>
      <c r="AI213" s="25">
        <f t="shared" si="78"/>
        <v>0</v>
      </c>
      <c r="AJ213" s="25">
        <f t="shared" si="79"/>
        <v>0</v>
      </c>
      <c r="AK213" s="25">
        <f t="shared" si="91"/>
        <v>4.6089102924109593</v>
      </c>
      <c r="AM213" s="25">
        <f t="shared" si="89"/>
        <v>4.6089102924109593</v>
      </c>
      <c r="BF213" s="1"/>
      <c r="BG213" s="1"/>
      <c r="BK213" s="1">
        <f t="shared" si="70"/>
        <v>1070</v>
      </c>
      <c r="BL213" s="20">
        <f t="shared" si="70"/>
        <v>4.2969039301009184</v>
      </c>
      <c r="BM213" s="25">
        <f>VLOOKUP(BK213,'Hazard Weighting Functions'!$B$5:$G$1205,4,FALSE)</f>
        <v>0.2</v>
      </c>
      <c r="BN213" s="25">
        <f t="shared" si="85"/>
        <v>0.85938078602018375</v>
      </c>
      <c r="BO213" s="25">
        <f t="shared" si="90"/>
        <v>4.161386108876898</v>
      </c>
      <c r="BP213" s="20">
        <f t="shared" si="71"/>
        <v>950</v>
      </c>
      <c r="BQ213" s="20">
        <f t="shared" si="71"/>
        <v>45.290324911611883</v>
      </c>
      <c r="BR213" s="25">
        <f>VLOOKUP(BP213,'Hazard Weighting Functions'!$B$5:$G$1205,4,FALSE)</f>
        <v>0.316</v>
      </c>
      <c r="BS213" s="25">
        <f t="shared" si="86"/>
        <v>14.311742672069355</v>
      </c>
      <c r="BT213" s="25">
        <f t="shared" si="87"/>
        <v>67.501433207760272</v>
      </c>
    </row>
    <row r="214" spans="2:72">
      <c r="B214" s="25">
        <v>825</v>
      </c>
      <c r="C214" s="36">
        <v>0.8771057578825483</v>
      </c>
      <c r="E214" s="25">
        <v>825</v>
      </c>
      <c r="F214" s="36"/>
      <c r="H214" s="25">
        <v>825</v>
      </c>
      <c r="I214" s="36"/>
      <c r="K214" s="25">
        <v>1925</v>
      </c>
      <c r="L214" s="36"/>
      <c r="N214" s="25">
        <v>1075</v>
      </c>
      <c r="O214" s="36">
        <v>4.0258682876528757</v>
      </c>
      <c r="Q214" s="20">
        <v>955</v>
      </c>
      <c r="R214" s="36">
        <v>41.064176734740315</v>
      </c>
      <c r="V214" s="25">
        <f t="shared" si="72"/>
        <v>825</v>
      </c>
      <c r="W214" s="25">
        <f t="shared" si="72"/>
        <v>0.8771057578825483</v>
      </c>
      <c r="Y214" s="25">
        <f t="shared" si="73"/>
        <v>825</v>
      </c>
      <c r="Z214" s="25">
        <f t="shared" si="73"/>
        <v>0.8771057578825483</v>
      </c>
      <c r="AA214" s="25">
        <f>VLOOKUP(Y214,'Hazard Weighting Functions'!$B$5:$G$1205,2,FALSE)</f>
        <v>0</v>
      </c>
      <c r="AB214" s="25">
        <f t="shared" si="74"/>
        <v>0</v>
      </c>
      <c r="AC214" s="25">
        <f t="shared" si="75"/>
        <v>0</v>
      </c>
      <c r="AE214" s="25">
        <f>VLOOKUP(Y214,'Hazard Weighting Functions'!$B$5:$G$1205,3,FALSE)</f>
        <v>0</v>
      </c>
      <c r="AF214" s="25">
        <f t="shared" si="76"/>
        <v>0</v>
      </c>
      <c r="AG214" s="25">
        <f t="shared" si="77"/>
        <v>0</v>
      </c>
      <c r="AH214" s="25">
        <f>VLOOKUP(Y214,'Hazard Weighting Functions'!$B$5:$G$1205,5,FALSE)</f>
        <v>0</v>
      </c>
      <c r="AI214" s="25">
        <f t="shared" si="78"/>
        <v>0</v>
      </c>
      <c r="AJ214" s="25">
        <f t="shared" si="79"/>
        <v>0</v>
      </c>
      <c r="AK214" s="25">
        <f t="shared" si="91"/>
        <v>4.290000790608671</v>
      </c>
      <c r="AM214" s="25">
        <f t="shared" si="89"/>
        <v>4.290000790608671</v>
      </c>
      <c r="BF214" s="1"/>
      <c r="BG214" s="1"/>
      <c r="BK214" s="1">
        <f t="shared" si="70"/>
        <v>1075</v>
      </c>
      <c r="BL214" s="20">
        <f t="shared" si="70"/>
        <v>4.0258682876528757</v>
      </c>
      <c r="BM214" s="25">
        <f>VLOOKUP(BK214,'Hazard Weighting Functions'!$B$5:$G$1205,4,FALSE)</f>
        <v>0.2</v>
      </c>
      <c r="BN214" s="25">
        <f t="shared" si="85"/>
        <v>0.80517365753057524</v>
      </c>
      <c r="BO214" s="25">
        <f t="shared" si="90"/>
        <v>3.8297875384560287</v>
      </c>
      <c r="BP214" s="20">
        <f t="shared" si="71"/>
        <v>955</v>
      </c>
      <c r="BQ214" s="20">
        <f t="shared" si="71"/>
        <v>41.064176734740315</v>
      </c>
      <c r="BR214" s="25">
        <f>VLOOKUP(BP214,'Hazard Weighting Functions'!$B$5:$G$1205,4,FALSE)</f>
        <v>0.309</v>
      </c>
      <c r="BS214" s="25">
        <f t="shared" si="86"/>
        <v>12.688830611034756</v>
      </c>
      <c r="BT214" s="25">
        <f t="shared" si="87"/>
        <v>60.074553210223989</v>
      </c>
    </row>
    <row r="215" spans="2:72">
      <c r="B215" s="25">
        <v>830</v>
      </c>
      <c r="C215" s="36">
        <v>0.83889455836091997</v>
      </c>
      <c r="E215" s="25">
        <v>830</v>
      </c>
      <c r="F215" s="36"/>
      <c r="H215" s="25">
        <v>830</v>
      </c>
      <c r="I215" s="36"/>
      <c r="K215" s="25">
        <v>1930</v>
      </c>
      <c r="L215" s="36"/>
      <c r="N215" s="25">
        <v>1080</v>
      </c>
      <c r="O215" s="36">
        <v>3.6337067892591817</v>
      </c>
      <c r="Q215" s="20">
        <v>960</v>
      </c>
      <c r="R215" s="36">
        <v>37.552949248525962</v>
      </c>
      <c r="V215" s="25">
        <f t="shared" si="72"/>
        <v>830</v>
      </c>
      <c r="W215" s="25">
        <f t="shared" si="72"/>
        <v>0.83889455836091997</v>
      </c>
      <c r="Y215" s="25">
        <f t="shared" si="73"/>
        <v>830</v>
      </c>
      <c r="Z215" s="25">
        <f t="shared" si="73"/>
        <v>0.83889455836091997</v>
      </c>
      <c r="AA215" s="25">
        <f>VLOOKUP(Y215,'Hazard Weighting Functions'!$B$5:$G$1205,2,FALSE)</f>
        <v>0</v>
      </c>
      <c r="AB215" s="25">
        <f t="shared" si="74"/>
        <v>0</v>
      </c>
      <c r="AC215" s="25">
        <f t="shared" si="75"/>
        <v>0</v>
      </c>
      <c r="AE215" s="25">
        <f>VLOOKUP(Y215,'Hazard Weighting Functions'!$B$5:$G$1205,3,FALSE)</f>
        <v>0</v>
      </c>
      <c r="AF215" s="25">
        <f t="shared" si="76"/>
        <v>0</v>
      </c>
      <c r="AG215" s="25">
        <f t="shared" si="77"/>
        <v>0</v>
      </c>
      <c r="AH215" s="25">
        <f>VLOOKUP(Y215,'Hazard Weighting Functions'!$B$5:$G$1205,5,FALSE)</f>
        <v>0</v>
      </c>
      <c r="AI215" s="25">
        <f t="shared" si="78"/>
        <v>0</v>
      </c>
      <c r="AJ215" s="25">
        <f t="shared" si="79"/>
        <v>0</v>
      </c>
      <c r="AK215" s="25">
        <f t="shared" si="91"/>
        <v>4.2082912973181381</v>
      </c>
      <c r="AM215" s="25">
        <f t="shared" si="89"/>
        <v>4.2082912973181381</v>
      </c>
      <c r="BF215" s="1"/>
      <c r="BG215" s="1"/>
      <c r="BK215" s="1">
        <f t="shared" si="70"/>
        <v>1080</v>
      </c>
      <c r="BL215" s="20">
        <f t="shared" si="70"/>
        <v>3.6337067892591817</v>
      </c>
      <c r="BM215" s="25">
        <f>VLOOKUP(BK215,'Hazard Weighting Functions'!$B$5:$G$1205,4,FALSE)</f>
        <v>0.2</v>
      </c>
      <c r="BN215" s="25">
        <f t="shared" si="85"/>
        <v>0.72674135785183636</v>
      </c>
      <c r="BO215" s="25">
        <f t="shared" si="90"/>
        <v>3.4670023500129163</v>
      </c>
      <c r="BP215" s="20">
        <f t="shared" si="71"/>
        <v>960</v>
      </c>
      <c r="BQ215" s="20">
        <f t="shared" si="71"/>
        <v>37.552949248525962</v>
      </c>
      <c r="BR215" s="25">
        <f>VLOOKUP(BP215,'Hazard Weighting Functions'!$B$5:$G$1205,4,FALSE)</f>
        <v>0.30199999999999999</v>
      </c>
      <c r="BS215" s="25">
        <f t="shared" si="86"/>
        <v>11.34099067305484</v>
      </c>
      <c r="BT215" s="25">
        <f t="shared" si="87"/>
        <v>52.744163160240589</v>
      </c>
    </row>
    <row r="216" spans="2:72">
      <c r="B216" s="25">
        <v>835</v>
      </c>
      <c r="C216" s="36">
        <v>0.84442196056633523</v>
      </c>
      <c r="E216" s="25">
        <v>835</v>
      </c>
      <c r="F216" s="36"/>
      <c r="H216" s="25">
        <v>835</v>
      </c>
      <c r="I216" s="36"/>
      <c r="K216" s="25">
        <v>1935</v>
      </c>
      <c r="L216" s="36"/>
      <c r="N216" s="25">
        <v>1085</v>
      </c>
      <c r="O216" s="36">
        <v>3.3002979107666519</v>
      </c>
      <c r="Q216" s="20">
        <v>965</v>
      </c>
      <c r="R216" s="36">
        <v>33.073473189970834</v>
      </c>
      <c r="V216" s="25">
        <f t="shared" si="72"/>
        <v>835</v>
      </c>
      <c r="W216" s="25">
        <f t="shared" si="72"/>
        <v>0.84442196056633523</v>
      </c>
      <c r="Y216" s="25">
        <f t="shared" si="73"/>
        <v>835</v>
      </c>
      <c r="Z216" s="25">
        <f t="shared" si="73"/>
        <v>0.84442196056633523</v>
      </c>
      <c r="AA216" s="25">
        <f>VLOOKUP(Y216,'Hazard Weighting Functions'!$B$5:$G$1205,2,FALSE)</f>
        <v>0</v>
      </c>
      <c r="AB216" s="25">
        <f t="shared" si="74"/>
        <v>0</v>
      </c>
      <c r="AC216" s="25">
        <f t="shared" si="75"/>
        <v>0</v>
      </c>
      <c r="AE216" s="25">
        <f>VLOOKUP(Y216,'Hazard Weighting Functions'!$B$5:$G$1205,3,FALSE)</f>
        <v>0</v>
      </c>
      <c r="AF216" s="25">
        <f t="shared" si="76"/>
        <v>0</v>
      </c>
      <c r="AG216" s="25">
        <f t="shared" si="77"/>
        <v>0</v>
      </c>
      <c r="AH216" s="25">
        <f>VLOOKUP(Y216,'Hazard Weighting Functions'!$B$5:$G$1205,5,FALSE)</f>
        <v>0</v>
      </c>
      <c r="AI216" s="25">
        <f t="shared" si="78"/>
        <v>0</v>
      </c>
      <c r="AJ216" s="25">
        <f t="shared" si="79"/>
        <v>0</v>
      </c>
      <c r="AK216" s="25">
        <f t="shared" si="91"/>
        <v>4.1165507535901096</v>
      </c>
      <c r="AM216" s="25">
        <f t="shared" si="89"/>
        <v>4.1165507535901096</v>
      </c>
      <c r="BF216" s="1"/>
      <c r="BG216" s="1"/>
      <c r="BK216" s="1">
        <f t="shared" si="70"/>
        <v>1085</v>
      </c>
      <c r="BL216" s="20">
        <f t="shared" si="70"/>
        <v>3.3002979107666519</v>
      </c>
      <c r="BM216" s="25">
        <f>VLOOKUP(BK216,'Hazard Weighting Functions'!$B$5:$G$1205,4,FALSE)</f>
        <v>0.2</v>
      </c>
      <c r="BN216" s="25">
        <f t="shared" si="85"/>
        <v>0.66005958215333038</v>
      </c>
      <c r="BO216" s="25">
        <f t="shared" si="90"/>
        <v>3.1751575603793225</v>
      </c>
      <c r="BP216" s="20">
        <f t="shared" si="71"/>
        <v>965</v>
      </c>
      <c r="BQ216" s="20">
        <f t="shared" si="71"/>
        <v>33.073473189970834</v>
      </c>
      <c r="BR216" s="25">
        <f>VLOOKUP(BP216,'Hazard Weighting Functions'!$B$5:$G$1205,4,FALSE)</f>
        <v>0.29499999999999998</v>
      </c>
      <c r="BS216" s="25">
        <f t="shared" si="86"/>
        <v>9.7566745910413957</v>
      </c>
      <c r="BT216" s="25">
        <f t="shared" si="87"/>
        <v>48.393748807511344</v>
      </c>
    </row>
    <row r="217" spans="2:72">
      <c r="B217" s="25">
        <v>840</v>
      </c>
      <c r="C217" s="36">
        <v>0.80219834086970843</v>
      </c>
      <c r="E217" s="25">
        <v>840</v>
      </c>
      <c r="F217" s="36"/>
      <c r="H217" s="25">
        <v>840</v>
      </c>
      <c r="I217" s="36"/>
      <c r="K217" s="25">
        <v>1940</v>
      </c>
      <c r="L217" s="36"/>
      <c r="N217" s="25">
        <v>1090</v>
      </c>
      <c r="O217" s="36">
        <v>3.0500172099919935</v>
      </c>
      <c r="Q217" s="20">
        <v>970</v>
      </c>
      <c r="R217" s="36">
        <v>33.336197680427581</v>
      </c>
      <c r="V217" s="25">
        <f t="shared" si="72"/>
        <v>840</v>
      </c>
      <c r="W217" s="25">
        <f t="shared" si="72"/>
        <v>0.80219834086970843</v>
      </c>
      <c r="Y217" s="25">
        <f t="shared" si="73"/>
        <v>840</v>
      </c>
      <c r="Z217" s="25">
        <f t="shared" si="73"/>
        <v>0.80219834086970843</v>
      </c>
      <c r="AA217" s="25">
        <f>VLOOKUP(Y217,'Hazard Weighting Functions'!$B$5:$G$1205,2,FALSE)</f>
        <v>0</v>
      </c>
      <c r="AB217" s="25">
        <f t="shared" si="74"/>
        <v>0</v>
      </c>
      <c r="AC217" s="25">
        <f t="shared" si="75"/>
        <v>0</v>
      </c>
      <c r="AE217" s="25">
        <f>VLOOKUP(Y217,'Hazard Weighting Functions'!$B$5:$G$1205,3,FALSE)</f>
        <v>0</v>
      </c>
      <c r="AF217" s="25">
        <f t="shared" si="76"/>
        <v>0</v>
      </c>
      <c r="AG217" s="25">
        <f t="shared" si="77"/>
        <v>0</v>
      </c>
      <c r="AH217" s="25">
        <f>VLOOKUP(Y217,'Hazard Weighting Functions'!$B$5:$G$1205,5,FALSE)</f>
        <v>0</v>
      </c>
      <c r="AI217" s="25">
        <f t="shared" si="78"/>
        <v>0</v>
      </c>
      <c r="AJ217" s="25">
        <f t="shared" si="79"/>
        <v>0</v>
      </c>
      <c r="AK217" s="25">
        <f t="shared" si="91"/>
        <v>3.6207620851879558</v>
      </c>
      <c r="AM217" s="25">
        <f t="shared" si="89"/>
        <v>3.6207620851879558</v>
      </c>
      <c r="BF217" s="1"/>
      <c r="BG217" s="1"/>
      <c r="BK217" s="1">
        <f t="shared" si="70"/>
        <v>1090</v>
      </c>
      <c r="BL217" s="20">
        <f t="shared" si="70"/>
        <v>3.0500172099919935</v>
      </c>
      <c r="BM217" s="25">
        <f>VLOOKUP(BK217,'Hazard Weighting Functions'!$B$5:$G$1205,4,FALSE)</f>
        <v>0.2</v>
      </c>
      <c r="BN217" s="25">
        <f t="shared" si="85"/>
        <v>0.61000344199839873</v>
      </c>
      <c r="BO217" s="25">
        <f t="shared" si="90"/>
        <v>2.9341099231810008</v>
      </c>
      <c r="BP217" s="20">
        <f t="shared" si="71"/>
        <v>970</v>
      </c>
      <c r="BQ217" s="20">
        <f t="shared" si="71"/>
        <v>33.336197680427581</v>
      </c>
      <c r="BR217" s="25">
        <f>VLOOKUP(BP217,'Hazard Weighting Functions'!$B$5:$G$1205,4,FALSE)</f>
        <v>0.28799999999999998</v>
      </c>
      <c r="BS217" s="25">
        <f t="shared" si="86"/>
        <v>9.6008249319631425</v>
      </c>
      <c r="BT217" s="25">
        <f t="shared" si="87"/>
        <v>44.688346904519136</v>
      </c>
    </row>
    <row r="218" spans="2:72">
      <c r="B218" s="25">
        <v>845</v>
      </c>
      <c r="C218" s="36">
        <v>0.64610649320547386</v>
      </c>
      <c r="E218" s="25">
        <v>845</v>
      </c>
      <c r="F218" s="36"/>
      <c r="H218" s="25">
        <v>845</v>
      </c>
      <c r="I218" s="36"/>
      <c r="K218" s="25">
        <v>1945</v>
      </c>
      <c r="L218" s="36"/>
      <c r="N218" s="25">
        <v>1095</v>
      </c>
      <c r="O218" s="36">
        <v>2.8182026363700086</v>
      </c>
      <c r="Q218" s="20">
        <v>975</v>
      </c>
      <c r="R218" s="36">
        <v>29.342247623562102</v>
      </c>
      <c r="V218" s="25">
        <f t="shared" si="72"/>
        <v>845</v>
      </c>
      <c r="W218" s="25">
        <f t="shared" si="72"/>
        <v>0.64610649320547386</v>
      </c>
      <c r="Y218" s="25">
        <f t="shared" si="73"/>
        <v>845</v>
      </c>
      <c r="Z218" s="25">
        <f t="shared" si="73"/>
        <v>0.64610649320547386</v>
      </c>
      <c r="AA218" s="25">
        <f>VLOOKUP(Y218,'Hazard Weighting Functions'!$B$5:$G$1205,2,FALSE)</f>
        <v>0</v>
      </c>
      <c r="AB218" s="25">
        <f t="shared" si="74"/>
        <v>0</v>
      </c>
      <c r="AC218" s="25">
        <f t="shared" si="75"/>
        <v>0</v>
      </c>
      <c r="AE218" s="25">
        <f>VLOOKUP(Y218,'Hazard Weighting Functions'!$B$5:$G$1205,3,FALSE)</f>
        <v>0</v>
      </c>
      <c r="AF218" s="25">
        <f t="shared" si="76"/>
        <v>0</v>
      </c>
      <c r="AG218" s="25">
        <f t="shared" si="77"/>
        <v>0</v>
      </c>
      <c r="AH218" s="25">
        <f>VLOOKUP(Y218,'Hazard Weighting Functions'!$B$5:$G$1205,5,FALSE)</f>
        <v>0</v>
      </c>
      <c r="AI218" s="25">
        <f t="shared" si="78"/>
        <v>0</v>
      </c>
      <c r="AJ218" s="25">
        <f t="shared" si="79"/>
        <v>0</v>
      </c>
      <c r="AK218" s="25">
        <f t="shared" si="91"/>
        <v>2.8542804966152207</v>
      </c>
      <c r="AM218" s="25">
        <f t="shared" si="89"/>
        <v>2.8542804966152207</v>
      </c>
      <c r="BF218" s="1"/>
      <c r="BG218" s="1"/>
      <c r="BK218" s="1">
        <f t="shared" si="70"/>
        <v>1095</v>
      </c>
      <c r="BL218" s="20">
        <f t="shared" si="70"/>
        <v>2.8182026363700086</v>
      </c>
      <c r="BM218" s="25">
        <f>VLOOKUP(BK218,'Hazard Weighting Functions'!$B$5:$G$1205,4,FALSE)</f>
        <v>0.2</v>
      </c>
      <c r="BN218" s="25">
        <f t="shared" si="85"/>
        <v>0.56364052727400171</v>
      </c>
      <c r="BO218" s="25">
        <f t="shared" si="90"/>
        <v>2.6863278085035445</v>
      </c>
      <c r="BP218" s="20">
        <f t="shared" si="71"/>
        <v>975</v>
      </c>
      <c r="BQ218" s="20">
        <f t="shared" si="71"/>
        <v>29.342247623562102</v>
      </c>
      <c r="BR218" s="25">
        <f>VLOOKUP(BP218,'Hazard Weighting Functions'!$B$5:$G$1205,4,FALSE)</f>
        <v>0.28199999999999997</v>
      </c>
      <c r="BS218" s="25">
        <f t="shared" si="86"/>
        <v>8.274513829844512</v>
      </c>
      <c r="BT218" s="25">
        <f t="shared" si="87"/>
        <v>38.949146169084315</v>
      </c>
    </row>
    <row r="219" spans="2:72">
      <c r="B219" s="25">
        <v>850</v>
      </c>
      <c r="C219" s="36">
        <v>0.49560570544061444</v>
      </c>
      <c r="E219" s="25">
        <v>850</v>
      </c>
      <c r="F219" s="36"/>
      <c r="H219" s="25">
        <v>850</v>
      </c>
      <c r="I219" s="36"/>
      <c r="K219" s="25">
        <v>1950</v>
      </c>
      <c r="L219" s="36"/>
      <c r="N219" s="25">
        <v>1100</v>
      </c>
      <c r="O219" s="36">
        <v>2.5544529806370804</v>
      </c>
      <c r="Q219" s="20">
        <v>980</v>
      </c>
      <c r="R219" s="36">
        <v>26.564162319233507</v>
      </c>
      <c r="V219" s="25">
        <f t="shared" si="72"/>
        <v>850</v>
      </c>
      <c r="W219" s="25">
        <f t="shared" si="72"/>
        <v>0.49560570544061444</v>
      </c>
      <c r="Y219" s="25">
        <f t="shared" si="73"/>
        <v>850</v>
      </c>
      <c r="Z219" s="25">
        <f t="shared" si="73"/>
        <v>0.49560570544061444</v>
      </c>
      <c r="AA219" s="25">
        <f>VLOOKUP(Y219,'Hazard Weighting Functions'!$B$5:$G$1205,2,FALSE)</f>
        <v>0</v>
      </c>
      <c r="AB219" s="25">
        <f t="shared" si="74"/>
        <v>0</v>
      </c>
      <c r="AC219" s="25">
        <f t="shared" si="75"/>
        <v>0</v>
      </c>
      <c r="AE219" s="25">
        <f>VLOOKUP(Y219,'Hazard Weighting Functions'!$B$5:$G$1205,3,FALSE)</f>
        <v>0</v>
      </c>
      <c r="AF219" s="25">
        <f t="shared" si="76"/>
        <v>0</v>
      </c>
      <c r="AG219" s="25">
        <f t="shared" si="77"/>
        <v>0</v>
      </c>
      <c r="AH219" s="25">
        <f>VLOOKUP(Y219,'Hazard Weighting Functions'!$B$5:$G$1205,5,FALSE)</f>
        <v>0</v>
      </c>
      <c r="AI219" s="25">
        <f t="shared" si="78"/>
        <v>0</v>
      </c>
      <c r="AJ219" s="25">
        <f t="shared" si="79"/>
        <v>0</v>
      </c>
      <c r="AK219" s="25">
        <f t="shared" si="91"/>
        <v>2.4137801157844812</v>
      </c>
      <c r="AM219" s="25">
        <f t="shared" si="89"/>
        <v>2.4137801157844812</v>
      </c>
      <c r="BF219" s="1"/>
      <c r="BG219" s="1"/>
      <c r="BK219" s="1">
        <f t="shared" si="70"/>
        <v>1100</v>
      </c>
      <c r="BL219" s="20">
        <f t="shared" si="70"/>
        <v>2.5544529806370804</v>
      </c>
      <c r="BM219" s="25">
        <f>VLOOKUP(BK219,'Hazard Weighting Functions'!$B$5:$G$1205,4,FALSE)</f>
        <v>0.2</v>
      </c>
      <c r="BN219" s="25">
        <f t="shared" si="85"/>
        <v>0.51089059612741605</v>
      </c>
      <c r="BO219" s="25">
        <f t="shared" si="90"/>
        <v>2.5783228375100564</v>
      </c>
      <c r="BP219" s="20">
        <f t="shared" si="71"/>
        <v>980</v>
      </c>
      <c r="BQ219" s="20">
        <f t="shared" si="71"/>
        <v>26.564162319233507</v>
      </c>
      <c r="BR219" s="25">
        <f>VLOOKUP(BP219,'Hazard Weighting Functions'!$B$5:$G$1205,4,FALSE)</f>
        <v>0.27500000000000002</v>
      </c>
      <c r="BS219" s="25">
        <f t="shared" si="86"/>
        <v>7.3051446377892146</v>
      </c>
      <c r="BT219" s="25">
        <f t="shared" si="87"/>
        <v>34.786607310025623</v>
      </c>
    </row>
    <row r="220" spans="2:72">
      <c r="B220" s="25">
        <v>855</v>
      </c>
      <c r="C220" s="36">
        <v>0.46990634087317806</v>
      </c>
      <c r="E220" s="25">
        <v>855</v>
      </c>
      <c r="F220" s="36"/>
      <c r="H220" s="25">
        <v>855</v>
      </c>
      <c r="I220" s="36"/>
      <c r="K220" s="25">
        <v>1955</v>
      </c>
      <c r="L220" s="36"/>
      <c r="N220" s="25">
        <v>1105</v>
      </c>
      <c r="O220" s="36">
        <v>2.6021926943830325</v>
      </c>
      <c r="Q220" s="20">
        <v>985</v>
      </c>
      <c r="R220" s="36">
        <v>24.570625599334694</v>
      </c>
      <c r="V220" s="25">
        <f t="shared" si="72"/>
        <v>855</v>
      </c>
      <c r="W220" s="25">
        <f t="shared" si="72"/>
        <v>0.46990634087317806</v>
      </c>
      <c r="Y220" s="25">
        <f t="shared" si="73"/>
        <v>855</v>
      </c>
      <c r="Z220" s="25">
        <f t="shared" si="73"/>
        <v>0.46990634087317806</v>
      </c>
      <c r="AA220" s="25">
        <f>VLOOKUP(Y220,'Hazard Weighting Functions'!$B$5:$G$1205,2,FALSE)</f>
        <v>0</v>
      </c>
      <c r="AB220" s="25">
        <f t="shared" si="74"/>
        <v>0</v>
      </c>
      <c r="AC220" s="25">
        <f t="shared" si="75"/>
        <v>0</v>
      </c>
      <c r="AE220" s="25">
        <f>VLOOKUP(Y220,'Hazard Weighting Functions'!$B$5:$G$1205,3,FALSE)</f>
        <v>0</v>
      </c>
      <c r="AF220" s="25">
        <f t="shared" si="76"/>
        <v>0</v>
      </c>
      <c r="AG220" s="25">
        <f t="shared" si="77"/>
        <v>0</v>
      </c>
      <c r="AH220" s="25">
        <f>VLOOKUP(Y220,'Hazard Weighting Functions'!$B$5:$G$1205,5,FALSE)</f>
        <v>0</v>
      </c>
      <c r="AI220" s="25">
        <f t="shared" si="78"/>
        <v>0</v>
      </c>
      <c r="AJ220" s="25">
        <f t="shared" si="79"/>
        <v>0</v>
      </c>
      <c r="AK220" s="25">
        <f t="shared" si="91"/>
        <v>2.4288822786652524</v>
      </c>
      <c r="AM220" s="25">
        <f t="shared" si="89"/>
        <v>2.4288822786652524</v>
      </c>
      <c r="BF220" s="1"/>
      <c r="BG220" s="1"/>
      <c r="BK220" s="1">
        <f t="shared" ref="BK220:BL279" si="92">N220</f>
        <v>1105</v>
      </c>
      <c r="BL220" s="20">
        <f t="shared" si="92"/>
        <v>2.6021926943830325</v>
      </c>
      <c r="BM220" s="25">
        <f>VLOOKUP(BK220,'Hazard Weighting Functions'!$B$5:$G$1205,4,FALSE)</f>
        <v>0.2</v>
      </c>
      <c r="BN220" s="25">
        <f t="shared" si="85"/>
        <v>0.52043853887660652</v>
      </c>
      <c r="BO220" s="25">
        <f t="shared" si="90"/>
        <v>2.5105000403438087</v>
      </c>
      <c r="BP220" s="20">
        <f t="shared" ref="BP220:BQ273" si="93">Q220</f>
        <v>985</v>
      </c>
      <c r="BQ220" s="20">
        <f t="shared" si="93"/>
        <v>24.570625599334694</v>
      </c>
      <c r="BR220" s="25">
        <f>VLOOKUP(BP220,'Hazard Weighting Functions'!$B$5:$G$1205,4,FALSE)</f>
        <v>0.26900000000000002</v>
      </c>
      <c r="BS220" s="25">
        <f t="shared" si="86"/>
        <v>6.609498286221033</v>
      </c>
      <c r="BT220" s="25">
        <f t="shared" si="87"/>
        <v>29.97254836580084</v>
      </c>
    </row>
    <row r="221" spans="2:72">
      <c r="B221" s="25">
        <v>860</v>
      </c>
      <c r="C221" s="36">
        <v>0.50164657059292295</v>
      </c>
      <c r="E221" s="25">
        <v>860</v>
      </c>
      <c r="F221" s="36"/>
      <c r="H221" s="25">
        <v>860</v>
      </c>
      <c r="I221" s="36"/>
      <c r="K221" s="25">
        <v>1960</v>
      </c>
      <c r="L221" s="36"/>
      <c r="N221" s="25">
        <v>1110</v>
      </c>
      <c r="O221" s="36">
        <v>2.4188073863045849</v>
      </c>
      <c r="Q221" s="20">
        <v>990</v>
      </c>
      <c r="R221" s="36">
        <v>20.454452699997354</v>
      </c>
      <c r="V221" s="25">
        <f t="shared" si="72"/>
        <v>860</v>
      </c>
      <c r="W221" s="25">
        <f t="shared" si="72"/>
        <v>0.50164657059292295</v>
      </c>
      <c r="Y221" s="25">
        <f t="shared" si="73"/>
        <v>860</v>
      </c>
      <c r="Z221" s="25">
        <f t="shared" si="73"/>
        <v>0.50164657059292295</v>
      </c>
      <c r="AA221" s="25">
        <f>VLOOKUP(Y221,'Hazard Weighting Functions'!$B$5:$G$1205,2,FALSE)</f>
        <v>0</v>
      </c>
      <c r="AB221" s="25">
        <f t="shared" si="74"/>
        <v>0</v>
      </c>
      <c r="AC221" s="25">
        <f t="shared" si="75"/>
        <v>0</v>
      </c>
      <c r="AE221" s="25">
        <f>VLOOKUP(Y221,'Hazard Weighting Functions'!$B$5:$G$1205,3,FALSE)</f>
        <v>0</v>
      </c>
      <c r="AF221" s="25">
        <f t="shared" si="76"/>
        <v>0</v>
      </c>
      <c r="AG221" s="25">
        <f t="shared" si="77"/>
        <v>0</v>
      </c>
      <c r="AH221" s="25">
        <f>VLOOKUP(Y221,'Hazard Weighting Functions'!$B$5:$G$1205,5,FALSE)</f>
        <v>0</v>
      </c>
      <c r="AI221" s="25">
        <f t="shared" si="78"/>
        <v>0</v>
      </c>
      <c r="AJ221" s="25">
        <f t="shared" si="79"/>
        <v>0</v>
      </c>
      <c r="AK221" s="25">
        <f t="shared" si="91"/>
        <v>2.5068621544653906</v>
      </c>
      <c r="AM221" s="25">
        <f t="shared" si="89"/>
        <v>2.5068621544653906</v>
      </c>
      <c r="BF221" s="1"/>
      <c r="BG221" s="1"/>
      <c r="BK221" s="1">
        <f t="shared" si="92"/>
        <v>1110</v>
      </c>
      <c r="BL221" s="20">
        <f t="shared" si="92"/>
        <v>2.4188073863045849</v>
      </c>
      <c r="BM221" s="25">
        <f>VLOOKUP(BK221,'Hazard Weighting Functions'!$B$5:$G$1205,4,FALSE)</f>
        <v>0.2</v>
      </c>
      <c r="BN221" s="25">
        <f t="shared" si="85"/>
        <v>0.48376147726091701</v>
      </c>
      <c r="BO221" s="25">
        <f t="shared" si="90"/>
        <v>2.3418068039145772</v>
      </c>
      <c r="BP221" s="20">
        <f t="shared" si="93"/>
        <v>990</v>
      </c>
      <c r="BQ221" s="20">
        <f t="shared" si="93"/>
        <v>20.454452699997354</v>
      </c>
      <c r="BR221" s="25">
        <f>VLOOKUP(BP221,'Hazard Weighting Functions'!$B$5:$G$1205,4,FALSE)</f>
        <v>0.26300000000000001</v>
      </c>
      <c r="BS221" s="25">
        <f t="shared" si="86"/>
        <v>5.3795210600993046</v>
      </c>
      <c r="BT221" s="25">
        <f t="shared" si="87"/>
        <v>25.97202428121577</v>
      </c>
    </row>
    <row r="222" spans="2:72">
      <c r="B222" s="25">
        <v>865</v>
      </c>
      <c r="C222" s="36">
        <v>0.50109829119323335</v>
      </c>
      <c r="E222" s="25">
        <v>865</v>
      </c>
      <c r="F222" s="36"/>
      <c r="H222" s="25">
        <v>865</v>
      </c>
      <c r="I222" s="36"/>
      <c r="K222" s="25">
        <v>1965</v>
      </c>
      <c r="L222" s="36"/>
      <c r="N222" s="25">
        <v>1115</v>
      </c>
      <c r="O222" s="36">
        <v>2.264806221524569</v>
      </c>
      <c r="Q222" s="20">
        <v>995</v>
      </c>
      <c r="R222" s="36">
        <v>19.49139553457978</v>
      </c>
      <c r="V222" s="25">
        <f t="shared" ref="V222:W269" si="94">B222</f>
        <v>865</v>
      </c>
      <c r="W222" s="25">
        <f t="shared" si="94"/>
        <v>0.50109829119323335</v>
      </c>
      <c r="Y222" s="25">
        <f t="shared" ref="Y222:Z269" si="95">V222</f>
        <v>865</v>
      </c>
      <c r="Z222" s="25">
        <f t="shared" si="95"/>
        <v>0.50109829119323335</v>
      </c>
      <c r="AA222" s="25">
        <f>VLOOKUP(Y222,'Hazard Weighting Functions'!$B$5:$G$1205,2,FALSE)</f>
        <v>0</v>
      </c>
      <c r="AB222" s="25">
        <f t="shared" ref="AB222:AB229" si="96">Z222*AA222</f>
        <v>0</v>
      </c>
      <c r="AC222" s="25">
        <f t="shared" ref="AC222:AC229" si="97">0.5*(Y223-Y222)*(AB222+AB223)</f>
        <v>0</v>
      </c>
      <c r="AE222" s="25">
        <f>VLOOKUP(Y222,'Hazard Weighting Functions'!$B$5:$G$1205,3,FALSE)</f>
        <v>0</v>
      </c>
      <c r="AF222" s="25">
        <f t="shared" ref="AF222:AF229" si="98">AE222*Z222</f>
        <v>0</v>
      </c>
      <c r="AG222" s="25">
        <f t="shared" ref="AG222:AG229" si="99">0.5*(Y223-Y222)*(AF222+AF223)</f>
        <v>0</v>
      </c>
      <c r="AH222" s="25">
        <f>VLOOKUP(Y222,'Hazard Weighting Functions'!$B$5:$G$1205,5,FALSE)</f>
        <v>0</v>
      </c>
      <c r="AI222" s="25">
        <f t="shared" ref="AI222:AI229" si="100">AH222*Z222</f>
        <v>0</v>
      </c>
      <c r="AJ222" s="25">
        <f t="shared" ref="AJ222:AJ229" si="101">0.5*(Y223-Y222)*(AI222+AI223)</f>
        <v>0</v>
      </c>
      <c r="AK222" s="25">
        <f t="shared" si="91"/>
        <v>2.4418469617087997</v>
      </c>
      <c r="AM222" s="25">
        <f t="shared" si="89"/>
        <v>2.4418469617087997</v>
      </c>
      <c r="BF222" s="1"/>
      <c r="BG222" s="1"/>
      <c r="BK222" s="1">
        <f t="shared" si="92"/>
        <v>1115</v>
      </c>
      <c r="BL222" s="20">
        <f t="shared" si="92"/>
        <v>2.264806221524569</v>
      </c>
      <c r="BM222" s="25">
        <f>VLOOKUP(BK222,'Hazard Weighting Functions'!$B$5:$G$1205,4,FALSE)</f>
        <v>0.2</v>
      </c>
      <c r="BN222" s="25">
        <f t="shared" ref="BN222:BN279" si="102">BM222*BL222</f>
        <v>0.4529612443049138</v>
      </c>
      <c r="BO222" s="25">
        <f t="shared" si="90"/>
        <v>2.1583393115741019</v>
      </c>
      <c r="BP222" s="20">
        <f t="shared" si="93"/>
        <v>995</v>
      </c>
      <c r="BQ222" s="20">
        <f t="shared" si="93"/>
        <v>19.49139553457978</v>
      </c>
      <c r="BR222" s="25">
        <f>VLOOKUP(BP222,'Hazard Weighting Functions'!$B$5:$G$1205,4,FALSE)</f>
        <v>0.25700000000000001</v>
      </c>
      <c r="BS222" s="25">
        <f t="shared" ref="BS222:BS285" si="103">BR222*BQ222</f>
        <v>5.0092886523870037</v>
      </c>
      <c r="BT222" s="25">
        <f t="shared" ref="BT222:BT285" si="104">0.5*(BP223-BP222)*(BS222+BS223)</f>
        <v>24.217940488604874</v>
      </c>
    </row>
    <row r="223" spans="2:72">
      <c r="B223" s="25">
        <v>870</v>
      </c>
      <c r="C223" s="36">
        <v>0.47564049349028648</v>
      </c>
      <c r="E223" s="25">
        <v>870</v>
      </c>
      <c r="F223" s="36"/>
      <c r="H223" s="25">
        <v>870</v>
      </c>
      <c r="I223" s="36"/>
      <c r="K223" s="25">
        <v>1970</v>
      </c>
      <c r="L223" s="36"/>
      <c r="N223" s="25">
        <v>1120</v>
      </c>
      <c r="O223" s="36">
        <v>2.0518724016236347</v>
      </c>
      <c r="Q223" s="20">
        <v>1000</v>
      </c>
      <c r="R223" s="36">
        <v>18.637002163565519</v>
      </c>
      <c r="V223" s="25">
        <f t="shared" si="94"/>
        <v>870</v>
      </c>
      <c r="W223" s="25">
        <f t="shared" si="94"/>
        <v>0.47564049349028648</v>
      </c>
      <c r="Y223" s="25">
        <f t="shared" si="95"/>
        <v>870</v>
      </c>
      <c r="Z223" s="25">
        <f t="shared" si="95"/>
        <v>0.47564049349028648</v>
      </c>
      <c r="AA223" s="25">
        <f>VLOOKUP(Y223,'Hazard Weighting Functions'!$B$5:$G$1205,2,FALSE)</f>
        <v>0</v>
      </c>
      <c r="AB223" s="25">
        <f t="shared" si="96"/>
        <v>0</v>
      </c>
      <c r="AC223" s="25">
        <f t="shared" si="97"/>
        <v>0</v>
      </c>
      <c r="AE223" s="25">
        <f>VLOOKUP(Y223,'Hazard Weighting Functions'!$B$5:$G$1205,3,FALSE)</f>
        <v>0</v>
      </c>
      <c r="AF223" s="25">
        <f t="shared" si="98"/>
        <v>0</v>
      </c>
      <c r="AG223" s="25">
        <f t="shared" si="99"/>
        <v>0</v>
      </c>
      <c r="AH223" s="25">
        <f>VLOOKUP(Y223,'Hazard Weighting Functions'!$B$5:$G$1205,5,FALSE)</f>
        <v>0</v>
      </c>
      <c r="AI223" s="25">
        <f t="shared" si="100"/>
        <v>0</v>
      </c>
      <c r="AJ223" s="25">
        <f t="shared" si="101"/>
        <v>0</v>
      </c>
      <c r="AK223" s="25">
        <f t="shared" si="91"/>
        <v>2.3202416978595988</v>
      </c>
      <c r="AM223" s="25">
        <f t="shared" si="89"/>
        <v>2.3202416978595988</v>
      </c>
      <c r="BF223" s="1"/>
      <c r="BG223" s="1"/>
      <c r="BK223" s="1">
        <f t="shared" si="92"/>
        <v>1120</v>
      </c>
      <c r="BL223" s="20">
        <f t="shared" si="92"/>
        <v>2.0518724016236347</v>
      </c>
      <c r="BM223" s="25">
        <f>VLOOKUP(BK223,'Hazard Weighting Functions'!$B$5:$G$1205,4,FALSE)</f>
        <v>0.2</v>
      </c>
      <c r="BN223" s="25">
        <f t="shared" si="102"/>
        <v>0.41037448032472695</v>
      </c>
      <c r="BO223" s="25">
        <f t="shared" si="90"/>
        <v>1.9560197282104315</v>
      </c>
      <c r="BP223" s="20">
        <f t="shared" si="93"/>
        <v>1000</v>
      </c>
      <c r="BQ223" s="20">
        <f t="shared" si="93"/>
        <v>18.637002163565519</v>
      </c>
      <c r="BR223" s="25">
        <f>VLOOKUP(BP223,'Hazard Weighting Functions'!$B$5:$G$1205,4,FALSE)</f>
        <v>0.251</v>
      </c>
      <c r="BS223" s="25">
        <f t="shared" si="103"/>
        <v>4.6778875430549451</v>
      </c>
      <c r="BT223" s="25">
        <f t="shared" si="104"/>
        <v>21.883359589327071</v>
      </c>
    </row>
    <row r="224" spans="2:72">
      <c r="B224" s="25">
        <v>875</v>
      </c>
      <c r="C224" s="36">
        <v>0.45245618565355294</v>
      </c>
      <c r="E224" s="25">
        <v>875</v>
      </c>
      <c r="F224" s="36"/>
      <c r="H224" s="25">
        <v>875</v>
      </c>
      <c r="I224" s="36"/>
      <c r="K224" s="25">
        <v>1975</v>
      </c>
      <c r="L224" s="36"/>
      <c r="N224" s="25">
        <v>1125</v>
      </c>
      <c r="O224" s="36">
        <v>1.8601670547972282</v>
      </c>
      <c r="Q224" s="20">
        <v>1005</v>
      </c>
      <c r="R224" s="36">
        <v>16.634515480309727</v>
      </c>
      <c r="V224" s="25">
        <f t="shared" si="94"/>
        <v>875</v>
      </c>
      <c r="W224" s="25">
        <f t="shared" si="94"/>
        <v>0.45245618565355294</v>
      </c>
      <c r="Y224" s="25">
        <f t="shared" si="95"/>
        <v>875</v>
      </c>
      <c r="Z224" s="25">
        <f t="shared" si="95"/>
        <v>0.45245618565355294</v>
      </c>
      <c r="AA224" s="25">
        <f>VLOOKUP(Y224,'Hazard Weighting Functions'!$B$5:$G$1205,2,FALSE)</f>
        <v>0</v>
      </c>
      <c r="AB224" s="25">
        <f t="shared" si="96"/>
        <v>0</v>
      </c>
      <c r="AC224" s="25">
        <f t="shared" si="97"/>
        <v>0</v>
      </c>
      <c r="AE224" s="25">
        <f>VLOOKUP(Y224,'Hazard Weighting Functions'!$B$5:$G$1205,3,FALSE)</f>
        <v>0</v>
      </c>
      <c r="AF224" s="25">
        <f t="shared" si="98"/>
        <v>0</v>
      </c>
      <c r="AG224" s="25">
        <f t="shared" si="99"/>
        <v>0</v>
      </c>
      <c r="AH224" s="25">
        <f>VLOOKUP(Y224,'Hazard Weighting Functions'!$B$5:$G$1205,5,FALSE)</f>
        <v>0</v>
      </c>
      <c r="AI224" s="25">
        <f t="shared" si="100"/>
        <v>0</v>
      </c>
      <c r="AJ224" s="25">
        <f t="shared" si="101"/>
        <v>0</v>
      </c>
      <c r="AK224" s="25">
        <f t="shared" si="91"/>
        <v>2.2332338417410886</v>
      </c>
      <c r="AM224" s="25">
        <f t="shared" si="89"/>
        <v>2.2332338417410886</v>
      </c>
      <c r="BF224" s="1"/>
      <c r="BG224" s="1"/>
      <c r="BK224" s="1">
        <f t="shared" si="92"/>
        <v>1125</v>
      </c>
      <c r="BL224" s="20">
        <f t="shared" si="92"/>
        <v>1.8601670547972282</v>
      </c>
      <c r="BM224" s="25">
        <f>VLOOKUP(BK224,'Hazard Weighting Functions'!$B$5:$G$1205,4,FALSE)</f>
        <v>0.2</v>
      </c>
      <c r="BN224" s="25">
        <f t="shared" si="102"/>
        <v>0.37203341095944564</v>
      </c>
      <c r="BO224" s="25">
        <f t="shared" si="90"/>
        <v>1.77160805206248</v>
      </c>
      <c r="BP224" s="20">
        <f t="shared" si="93"/>
        <v>1005</v>
      </c>
      <c r="BQ224" s="20">
        <f t="shared" si="93"/>
        <v>16.634515480309727</v>
      </c>
      <c r="BR224" s="25">
        <f>VLOOKUP(BP224,'Hazard Weighting Functions'!$B$5:$G$1205,4,FALSE)</f>
        <v>0.245</v>
      </c>
      <c r="BS224" s="25">
        <f t="shared" si="103"/>
        <v>4.0754562926758826</v>
      </c>
      <c r="BT224" s="25">
        <f t="shared" si="104"/>
        <v>20.848821293944692</v>
      </c>
    </row>
    <row r="225" spans="2:72">
      <c r="B225" s="25">
        <v>880</v>
      </c>
      <c r="C225" s="36">
        <v>0.44083735104288257</v>
      </c>
      <c r="E225" s="25">
        <v>880</v>
      </c>
      <c r="F225" s="36"/>
      <c r="H225" s="25">
        <v>880</v>
      </c>
      <c r="I225" s="36"/>
      <c r="K225" s="25">
        <v>1980</v>
      </c>
      <c r="L225" s="36"/>
      <c r="N225" s="25">
        <v>1130</v>
      </c>
      <c r="O225" s="36">
        <v>1.6830490493277313</v>
      </c>
      <c r="Q225" s="20">
        <v>1010</v>
      </c>
      <c r="R225" s="36">
        <v>17.76696760375831</v>
      </c>
      <c r="V225" s="25">
        <f t="shared" si="94"/>
        <v>880</v>
      </c>
      <c r="W225" s="25">
        <f t="shared" si="94"/>
        <v>0.44083735104288257</v>
      </c>
      <c r="Y225" s="25">
        <f t="shared" si="95"/>
        <v>880</v>
      </c>
      <c r="Z225" s="25">
        <f t="shared" si="95"/>
        <v>0.44083735104288257</v>
      </c>
      <c r="AA225" s="25">
        <f>VLOOKUP(Y225,'Hazard Weighting Functions'!$B$5:$G$1205,2,FALSE)</f>
        <v>0</v>
      </c>
      <c r="AB225" s="25">
        <f t="shared" si="96"/>
        <v>0</v>
      </c>
      <c r="AC225" s="25">
        <f t="shared" si="97"/>
        <v>0</v>
      </c>
      <c r="AE225" s="25">
        <f>VLOOKUP(Y225,'Hazard Weighting Functions'!$B$5:$G$1205,3,FALSE)</f>
        <v>0</v>
      </c>
      <c r="AF225" s="25">
        <f t="shared" si="98"/>
        <v>0</v>
      </c>
      <c r="AG225" s="25">
        <f t="shared" si="99"/>
        <v>0</v>
      </c>
      <c r="AH225" s="25">
        <f>VLOOKUP(Y225,'Hazard Weighting Functions'!$B$5:$G$1205,5,FALSE)</f>
        <v>0</v>
      </c>
      <c r="AI225" s="25">
        <f t="shared" si="100"/>
        <v>0</v>
      </c>
      <c r="AJ225" s="25">
        <f t="shared" si="101"/>
        <v>0</v>
      </c>
      <c r="AK225" s="25">
        <f t="shared" si="91"/>
        <v>2.1968008765037168</v>
      </c>
      <c r="AM225" s="25">
        <f t="shared" si="89"/>
        <v>2.1968008765037168</v>
      </c>
      <c r="BF225" s="1"/>
      <c r="BG225" s="1"/>
      <c r="BK225" s="1">
        <f t="shared" si="92"/>
        <v>1130</v>
      </c>
      <c r="BL225" s="20">
        <f t="shared" si="92"/>
        <v>1.6830490493277313</v>
      </c>
      <c r="BM225" s="25">
        <f>VLOOKUP(BK225,'Hazard Weighting Functions'!$B$5:$G$1205,4,FALSE)</f>
        <v>0.2</v>
      </c>
      <c r="BN225" s="25">
        <f t="shared" si="102"/>
        <v>0.33660980986554628</v>
      </c>
      <c r="BO225" s="25">
        <f t="shared" si="90"/>
        <v>1.5652835543563577</v>
      </c>
      <c r="BP225" s="20">
        <f t="shared" si="93"/>
        <v>1010</v>
      </c>
      <c r="BQ225" s="20">
        <f t="shared" si="93"/>
        <v>17.76696760375831</v>
      </c>
      <c r="BR225" s="25">
        <f>VLOOKUP(BP225,'Hazard Weighting Functions'!$B$5:$G$1205,4,FALSE)</f>
        <v>0.24</v>
      </c>
      <c r="BS225" s="25">
        <f t="shared" si="103"/>
        <v>4.2640722249019944</v>
      </c>
      <c r="BT225" s="25">
        <f t="shared" si="104"/>
        <v>18.541061642658679</v>
      </c>
    </row>
    <row r="226" spans="2:72">
      <c r="B226" s="25">
        <v>885</v>
      </c>
      <c r="C226" s="36">
        <v>0.43788299955860416</v>
      </c>
      <c r="E226" s="25">
        <v>885</v>
      </c>
      <c r="F226" s="36"/>
      <c r="H226" s="25">
        <v>885</v>
      </c>
      <c r="I226" s="36"/>
      <c r="K226" s="25">
        <v>1985</v>
      </c>
      <c r="L226" s="36"/>
      <c r="N226" s="25">
        <v>1135</v>
      </c>
      <c r="O226" s="36">
        <v>1.4475180593849837</v>
      </c>
      <c r="Q226" s="20">
        <v>1015</v>
      </c>
      <c r="R226" s="36">
        <v>13.471591590433661</v>
      </c>
      <c r="V226" s="25">
        <f t="shared" si="94"/>
        <v>885</v>
      </c>
      <c r="W226" s="25">
        <f t="shared" si="94"/>
        <v>0.43788299955860416</v>
      </c>
      <c r="Y226" s="25">
        <f t="shared" si="95"/>
        <v>885</v>
      </c>
      <c r="Z226" s="25">
        <f t="shared" si="95"/>
        <v>0.43788299955860416</v>
      </c>
      <c r="AA226" s="25">
        <f>VLOOKUP(Y226,'Hazard Weighting Functions'!$B$5:$G$1205,2,FALSE)</f>
        <v>0</v>
      </c>
      <c r="AB226" s="25">
        <f t="shared" si="96"/>
        <v>0</v>
      </c>
      <c r="AC226" s="25">
        <f t="shared" si="97"/>
        <v>0</v>
      </c>
      <c r="AE226" s="25">
        <f>VLOOKUP(Y226,'Hazard Weighting Functions'!$B$5:$G$1205,3,FALSE)</f>
        <v>0</v>
      </c>
      <c r="AF226" s="25">
        <f t="shared" si="98"/>
        <v>0</v>
      </c>
      <c r="AG226" s="25">
        <f t="shared" si="99"/>
        <v>0</v>
      </c>
      <c r="AH226" s="25">
        <f>VLOOKUP(Y226,'Hazard Weighting Functions'!$B$5:$G$1205,5,FALSE)</f>
        <v>0</v>
      </c>
      <c r="AI226" s="25">
        <f t="shared" si="100"/>
        <v>0</v>
      </c>
      <c r="AJ226" s="25">
        <f t="shared" si="101"/>
        <v>0</v>
      </c>
      <c r="AK226" s="25">
        <f t="shared" si="91"/>
        <v>2.1192356790779692</v>
      </c>
      <c r="AM226" s="25">
        <f t="shared" si="89"/>
        <v>2.1192356790779692</v>
      </c>
      <c r="BF226" s="1"/>
      <c r="BG226" s="1"/>
      <c r="BK226" s="1">
        <f t="shared" si="92"/>
        <v>1135</v>
      </c>
      <c r="BL226" s="20">
        <f t="shared" si="92"/>
        <v>1.4475180593849837</v>
      </c>
      <c r="BM226" s="25">
        <f>VLOOKUP(BK226,'Hazard Weighting Functions'!$B$5:$G$1205,4,FALSE)</f>
        <v>0.2</v>
      </c>
      <c r="BN226" s="25">
        <f t="shared" si="102"/>
        <v>0.28950361187699675</v>
      </c>
      <c r="BO226" s="25">
        <f t="shared" si="90"/>
        <v>1.3811501180141965</v>
      </c>
      <c r="BP226" s="20">
        <f t="shared" si="93"/>
        <v>1015</v>
      </c>
      <c r="BQ226" s="20">
        <f t="shared" si="93"/>
        <v>13.471591590433661</v>
      </c>
      <c r="BR226" s="25">
        <f>VLOOKUP(BP226,'Hazard Weighting Functions'!$B$5:$G$1205,4,FALSE)</f>
        <v>0.23400000000000001</v>
      </c>
      <c r="BS226" s="25">
        <f t="shared" si="103"/>
        <v>3.1523524321614769</v>
      </c>
      <c r="BT226" s="25">
        <f t="shared" si="104"/>
        <v>16.138343505698657</v>
      </c>
    </row>
    <row r="227" spans="2:72">
      <c r="B227" s="25">
        <v>890</v>
      </c>
      <c r="C227" s="36">
        <v>0.4098112720725835</v>
      </c>
      <c r="E227" s="25">
        <v>890</v>
      </c>
      <c r="F227" s="36"/>
      <c r="H227" s="25">
        <v>890</v>
      </c>
      <c r="I227" s="36"/>
      <c r="K227" s="25">
        <v>1990</v>
      </c>
      <c r="L227" s="36"/>
      <c r="N227" s="25">
        <v>1140</v>
      </c>
      <c r="O227" s="36">
        <v>1.3147821766434091</v>
      </c>
      <c r="Q227" s="20">
        <v>1020</v>
      </c>
      <c r="R227" s="36">
        <v>14.423515153353653</v>
      </c>
      <c r="V227" s="25">
        <f t="shared" si="94"/>
        <v>890</v>
      </c>
      <c r="W227" s="25">
        <f t="shared" si="94"/>
        <v>0.4098112720725835</v>
      </c>
      <c r="Y227" s="25">
        <f t="shared" si="95"/>
        <v>890</v>
      </c>
      <c r="Z227" s="25">
        <f t="shared" si="95"/>
        <v>0.4098112720725835</v>
      </c>
      <c r="AA227" s="25">
        <f>VLOOKUP(Y227,'Hazard Weighting Functions'!$B$5:$G$1205,2,FALSE)</f>
        <v>0</v>
      </c>
      <c r="AB227" s="25">
        <f t="shared" si="96"/>
        <v>0</v>
      </c>
      <c r="AC227" s="25">
        <f t="shared" si="97"/>
        <v>0</v>
      </c>
      <c r="AE227" s="25">
        <f>VLOOKUP(Y227,'Hazard Weighting Functions'!$B$5:$G$1205,3,FALSE)</f>
        <v>0</v>
      </c>
      <c r="AF227" s="25">
        <f t="shared" si="98"/>
        <v>0</v>
      </c>
      <c r="AG227" s="25">
        <f t="shared" si="99"/>
        <v>0</v>
      </c>
      <c r="AH227" s="25">
        <f>VLOOKUP(Y227,'Hazard Weighting Functions'!$B$5:$G$1205,5,FALSE)</f>
        <v>0</v>
      </c>
      <c r="AI227" s="25">
        <f t="shared" si="100"/>
        <v>0</v>
      </c>
      <c r="AJ227" s="25">
        <f t="shared" si="101"/>
        <v>0</v>
      </c>
      <c r="AK227" s="25">
        <f t="shared" si="91"/>
        <v>1.8572819079477747</v>
      </c>
      <c r="AM227" s="25">
        <f t="shared" si="89"/>
        <v>1.8572819079477747</v>
      </c>
      <c r="BF227" s="1"/>
      <c r="BG227" s="1"/>
      <c r="BK227" s="1">
        <f t="shared" si="92"/>
        <v>1140</v>
      </c>
      <c r="BL227" s="20">
        <f t="shared" si="92"/>
        <v>1.3147821766434091</v>
      </c>
      <c r="BM227" s="25">
        <f>VLOOKUP(BK227,'Hazard Weighting Functions'!$B$5:$G$1205,4,FALSE)</f>
        <v>0.2</v>
      </c>
      <c r="BN227" s="25">
        <f t="shared" si="102"/>
        <v>0.26295643532868185</v>
      </c>
      <c r="BO227" s="25">
        <f t="shared" si="90"/>
        <v>1.2742928896064547</v>
      </c>
      <c r="BP227" s="20">
        <f t="shared" si="93"/>
        <v>1020</v>
      </c>
      <c r="BQ227" s="20">
        <f t="shared" si="93"/>
        <v>14.423515153353653</v>
      </c>
      <c r="BR227" s="25">
        <f>VLOOKUP(BP227,'Hazard Weighting Functions'!$B$5:$G$1205,4,FALSE)</f>
        <v>0.22900000000000001</v>
      </c>
      <c r="BS227" s="25">
        <f t="shared" si="103"/>
        <v>3.3029849701179868</v>
      </c>
      <c r="BT227" s="25">
        <f t="shared" si="104"/>
        <v>15.739920153241673</v>
      </c>
    </row>
    <row r="228" spans="2:72">
      <c r="B228" s="25">
        <v>895</v>
      </c>
      <c r="C228" s="36">
        <v>0.33310149110652643</v>
      </c>
      <c r="E228" s="25">
        <v>895</v>
      </c>
      <c r="F228" s="36"/>
      <c r="H228" s="25">
        <v>895</v>
      </c>
      <c r="I228" s="36"/>
      <c r="K228" s="25">
        <v>1995</v>
      </c>
      <c r="L228" s="36"/>
      <c r="N228" s="25">
        <v>1145</v>
      </c>
      <c r="O228" s="36">
        <v>1.2338036025695005</v>
      </c>
      <c r="Q228" s="20">
        <v>1025</v>
      </c>
      <c r="R228" s="36">
        <v>13.361531657047692</v>
      </c>
      <c r="V228" s="25">
        <f t="shared" si="94"/>
        <v>895</v>
      </c>
      <c r="W228" s="25">
        <f t="shared" si="94"/>
        <v>0.33310149110652643</v>
      </c>
      <c r="Y228" s="25">
        <f t="shared" si="95"/>
        <v>895</v>
      </c>
      <c r="Z228" s="25">
        <f t="shared" si="95"/>
        <v>0.33310149110652643</v>
      </c>
      <c r="AA228" s="25">
        <f>VLOOKUP(Y228,'Hazard Weighting Functions'!$B$5:$G$1205,2,FALSE)</f>
        <v>0</v>
      </c>
      <c r="AB228" s="25">
        <f t="shared" si="96"/>
        <v>0</v>
      </c>
      <c r="AC228" s="25">
        <f t="shared" si="97"/>
        <v>0</v>
      </c>
      <c r="AE228" s="25">
        <f>VLOOKUP(Y228,'Hazard Weighting Functions'!$B$5:$G$1205,3,FALSE)</f>
        <v>0</v>
      </c>
      <c r="AF228" s="25">
        <f t="shared" si="98"/>
        <v>0</v>
      </c>
      <c r="AG228" s="25">
        <f t="shared" si="99"/>
        <v>0</v>
      </c>
      <c r="AH228" s="25">
        <f>VLOOKUP(Y228,'Hazard Weighting Functions'!$B$5:$G$1205,5,FALSE)</f>
        <v>0</v>
      </c>
      <c r="AI228" s="25">
        <f t="shared" si="100"/>
        <v>0</v>
      </c>
      <c r="AJ228" s="25">
        <f t="shared" si="101"/>
        <v>0</v>
      </c>
      <c r="AK228" s="25">
        <f t="shared" si="91"/>
        <v>1.4731501647912211</v>
      </c>
      <c r="AM228" s="25">
        <f t="shared" si="89"/>
        <v>1.4731501647912211</v>
      </c>
      <c r="BF228" s="1"/>
      <c r="BG228" s="1"/>
      <c r="BK228" s="1">
        <f t="shared" si="92"/>
        <v>1145</v>
      </c>
      <c r="BL228" s="20">
        <f t="shared" si="92"/>
        <v>1.2338036025695005</v>
      </c>
      <c r="BM228" s="25">
        <f>VLOOKUP(BK228,'Hazard Weighting Functions'!$B$5:$G$1205,4,FALSE)</f>
        <v>0.2</v>
      </c>
      <c r="BN228" s="25">
        <f t="shared" si="102"/>
        <v>0.24676072051390011</v>
      </c>
      <c r="BO228" s="25">
        <f t="shared" si="90"/>
        <v>1.2013762301059754</v>
      </c>
      <c r="BP228" s="20">
        <f t="shared" si="93"/>
        <v>1025</v>
      </c>
      <c r="BQ228" s="20">
        <f t="shared" si="93"/>
        <v>13.361531657047692</v>
      </c>
      <c r="BR228" s="25">
        <f>VLOOKUP(BP228,'Hazard Weighting Functions'!$B$5:$G$1205,4,FALSE)</f>
        <v>0.224</v>
      </c>
      <c r="BS228" s="25">
        <f t="shared" si="103"/>
        <v>2.992983091178683</v>
      </c>
      <c r="BT228" s="25">
        <f t="shared" si="104"/>
        <v>14.457988686248251</v>
      </c>
    </row>
    <row r="229" spans="2:72">
      <c r="B229" s="25">
        <v>900</v>
      </c>
      <c r="C229" s="36">
        <v>0.25615857480996201</v>
      </c>
      <c r="E229" s="25">
        <v>900</v>
      </c>
      <c r="F229" s="36"/>
      <c r="H229" s="25">
        <v>900</v>
      </c>
      <c r="I229" s="36"/>
      <c r="K229" s="25">
        <v>2000</v>
      </c>
      <c r="L229" s="36"/>
      <c r="N229" s="25">
        <v>1150</v>
      </c>
      <c r="O229" s="36">
        <v>1.1689488576424503</v>
      </c>
      <c r="Q229" s="20">
        <v>1030</v>
      </c>
      <c r="R229" s="36">
        <v>12.740695814249394</v>
      </c>
      <c r="V229" s="25">
        <f t="shared" si="94"/>
        <v>900</v>
      </c>
      <c r="W229" s="25">
        <f t="shared" si="94"/>
        <v>0.25615857480996201</v>
      </c>
      <c r="Y229" s="25">
        <f t="shared" si="95"/>
        <v>900</v>
      </c>
      <c r="Z229" s="25">
        <f t="shared" si="95"/>
        <v>0.25615857480996201</v>
      </c>
      <c r="AA229" s="25">
        <f>VLOOKUP(Y229,'Hazard Weighting Functions'!$B$5:$G$1205,2,FALSE)</f>
        <v>0</v>
      </c>
      <c r="AB229" s="25">
        <f t="shared" si="96"/>
        <v>0</v>
      </c>
      <c r="AC229" s="25">
        <f t="shared" si="97"/>
        <v>0</v>
      </c>
      <c r="AE229" s="25">
        <f>VLOOKUP(Y229,'Hazard Weighting Functions'!$B$5:$G$1205,3,FALSE)</f>
        <v>0</v>
      </c>
      <c r="AF229" s="25">
        <f t="shared" si="98"/>
        <v>0</v>
      </c>
      <c r="AG229" s="25">
        <f t="shared" si="99"/>
        <v>0</v>
      </c>
      <c r="AH229" s="25">
        <f>VLOOKUP(Y229,'Hazard Weighting Functions'!$B$5:$G$1205,5,FALSE)</f>
        <v>0</v>
      </c>
      <c r="AI229" s="25">
        <f t="shared" si="100"/>
        <v>0</v>
      </c>
      <c r="AJ229" s="25">
        <f t="shared" si="101"/>
        <v>0</v>
      </c>
      <c r="AK229" s="25">
        <f t="shared" si="91"/>
        <v>1.2152825669049969</v>
      </c>
      <c r="AM229" s="25">
        <f t="shared" si="89"/>
        <v>1.2152825669049969</v>
      </c>
      <c r="BF229" s="1"/>
      <c r="BG229" s="1"/>
      <c r="BK229" s="1">
        <f t="shared" si="92"/>
        <v>1150</v>
      </c>
      <c r="BL229" s="20">
        <f t="shared" si="92"/>
        <v>1.1689488576424503</v>
      </c>
      <c r="BM229" s="25">
        <f>VLOOKUP(BK229,'Hazard Weighting Functions'!$B$5:$G$1205,4,FALSE)</f>
        <v>0.2</v>
      </c>
      <c r="BN229" s="25">
        <f t="shared" si="102"/>
        <v>0.23378977152849006</v>
      </c>
      <c r="BO229" s="25">
        <f t="shared" si="90"/>
        <v>1.0287962334458411</v>
      </c>
      <c r="BP229" s="20">
        <f t="shared" si="93"/>
        <v>1030</v>
      </c>
      <c r="BQ229" s="20">
        <f t="shared" si="93"/>
        <v>12.740695814249394</v>
      </c>
      <c r="BR229" s="25">
        <f>VLOOKUP(BP229,'Hazard Weighting Functions'!$B$5:$G$1205,4,FALSE)</f>
        <v>0.219</v>
      </c>
      <c r="BS229" s="25">
        <f t="shared" si="103"/>
        <v>2.7902123833206174</v>
      </c>
      <c r="BT229" s="25">
        <f t="shared" si="104"/>
        <v>13.714134424334778</v>
      </c>
    </row>
    <row r="230" spans="2:72">
      <c r="B230" s="25">
        <v>905</v>
      </c>
      <c r="C230" s="36">
        <v>0.22995445195203673</v>
      </c>
      <c r="E230" s="25">
        <v>905</v>
      </c>
      <c r="F230" s="36"/>
      <c r="H230" s="25">
        <v>905</v>
      </c>
      <c r="I230" s="36"/>
      <c r="K230" s="25">
        <v>2005</v>
      </c>
      <c r="L230" s="36"/>
      <c r="N230" s="25">
        <v>1155</v>
      </c>
      <c r="O230" s="36">
        <v>1.1177907034581536</v>
      </c>
      <c r="Q230" s="20">
        <v>1035</v>
      </c>
      <c r="R230" s="36">
        <v>12.595520497258381</v>
      </c>
      <c r="V230" s="25">
        <f t="shared" si="94"/>
        <v>905</v>
      </c>
      <c r="W230" s="25">
        <f t="shared" si="94"/>
        <v>0.22995445195203673</v>
      </c>
      <c r="Y230" s="25">
        <f t="shared" si="95"/>
        <v>905</v>
      </c>
      <c r="Z230" s="25">
        <f t="shared" si="95"/>
        <v>0.22995445195203673</v>
      </c>
      <c r="AK230" s="25">
        <f t="shared" si="91"/>
        <v>1.1843948752614506</v>
      </c>
      <c r="AM230" s="25">
        <f t="shared" si="89"/>
        <v>1.1843948752614506</v>
      </c>
      <c r="BF230" s="1"/>
      <c r="BG230" s="1"/>
      <c r="BK230" s="1">
        <f t="shared" si="92"/>
        <v>1155</v>
      </c>
      <c r="BL230" s="20">
        <f t="shared" si="92"/>
        <v>1.1177907034581536</v>
      </c>
      <c r="BM230" s="25">
        <f>VLOOKUP(BK230,'Hazard Weighting Functions'!$B$5:$G$1205,4,FALSE)</f>
        <v>0.159</v>
      </c>
      <c r="BN230" s="25">
        <f t="shared" si="102"/>
        <v>0.17772872184984642</v>
      </c>
      <c r="BO230" s="25">
        <f t="shared" si="90"/>
        <v>0.77443751534043603</v>
      </c>
      <c r="BP230" s="20">
        <f t="shared" si="93"/>
        <v>1035</v>
      </c>
      <c r="BQ230" s="20">
        <f t="shared" si="93"/>
        <v>12.595520497258381</v>
      </c>
      <c r="BR230" s="25">
        <f>VLOOKUP(BP230,'Hazard Weighting Functions'!$B$5:$G$1205,4,FALSE)</f>
        <v>0.214</v>
      </c>
      <c r="BS230" s="25">
        <f t="shared" si="103"/>
        <v>2.6954413864132936</v>
      </c>
      <c r="BT230" s="25">
        <f t="shared" si="104"/>
        <v>13.00656119489879</v>
      </c>
    </row>
    <row r="231" spans="2:72">
      <c r="B231" s="25">
        <v>910</v>
      </c>
      <c r="C231" s="36">
        <v>0.24380349815254354</v>
      </c>
      <c r="E231" s="25">
        <v>910</v>
      </c>
      <c r="F231" s="36"/>
      <c r="H231" s="25">
        <v>910</v>
      </c>
      <c r="I231" s="36"/>
      <c r="K231" s="25">
        <v>2010</v>
      </c>
      <c r="L231" s="36"/>
      <c r="N231" s="25">
        <v>1160</v>
      </c>
      <c r="O231" s="36">
        <v>1.0479863832248255</v>
      </c>
      <c r="Q231" s="20">
        <v>1040</v>
      </c>
      <c r="R231" s="36">
        <v>11.996091347111111</v>
      </c>
      <c r="V231" s="25">
        <f t="shared" si="94"/>
        <v>910</v>
      </c>
      <c r="W231" s="25">
        <f t="shared" si="94"/>
        <v>0.24380349815254354</v>
      </c>
      <c r="Y231" s="25">
        <f t="shared" si="95"/>
        <v>910</v>
      </c>
      <c r="Z231" s="25">
        <f t="shared" si="95"/>
        <v>0.24380349815254354</v>
      </c>
      <c r="AK231" s="25">
        <f t="shared" si="91"/>
        <v>1.282193080710593</v>
      </c>
      <c r="AM231" s="25">
        <f t="shared" si="89"/>
        <v>1.282193080710593</v>
      </c>
      <c r="BF231" s="1"/>
      <c r="BG231" s="1"/>
      <c r="BK231" s="1">
        <f t="shared" si="92"/>
        <v>1160</v>
      </c>
      <c r="BL231" s="20">
        <f t="shared" si="92"/>
        <v>1.0479863832248255</v>
      </c>
      <c r="BM231" s="25">
        <f>VLOOKUP(BK231,'Hazard Weighting Functions'!$B$5:$G$1205,4,FALSE)</f>
        <v>0.126</v>
      </c>
      <c r="BN231" s="25">
        <f t="shared" si="102"/>
        <v>0.132046284286328</v>
      </c>
      <c r="BO231" s="25">
        <f t="shared" si="90"/>
        <v>0.58267746341843929</v>
      </c>
      <c r="BP231" s="20">
        <f t="shared" si="93"/>
        <v>1040</v>
      </c>
      <c r="BQ231" s="20">
        <f t="shared" si="93"/>
        <v>11.996091347111111</v>
      </c>
      <c r="BR231" s="25">
        <f>VLOOKUP(BP231,'Hazard Weighting Functions'!$B$5:$G$1205,4,FALSE)</f>
        <v>0.20899999999999999</v>
      </c>
      <c r="BS231" s="25">
        <f t="shared" si="103"/>
        <v>2.5071830915462221</v>
      </c>
      <c r="BT231" s="25">
        <f t="shared" si="104"/>
        <v>11.493303966006877</v>
      </c>
    </row>
    <row r="232" spans="2:72">
      <c r="B232" s="25">
        <v>915</v>
      </c>
      <c r="C232" s="36">
        <v>0.26907373413169366</v>
      </c>
      <c r="E232" s="25">
        <v>915</v>
      </c>
      <c r="F232" s="36"/>
      <c r="H232" s="25">
        <v>915</v>
      </c>
      <c r="I232" s="36"/>
      <c r="K232" s="25">
        <v>2015</v>
      </c>
      <c r="L232" s="36"/>
      <c r="N232" s="25">
        <v>1165</v>
      </c>
      <c r="O232" s="36">
        <v>1.0102470108104769</v>
      </c>
      <c r="Q232" s="20">
        <v>1045</v>
      </c>
      <c r="R232" s="36">
        <v>10.24577693557122</v>
      </c>
      <c r="V232" s="25">
        <f t="shared" si="94"/>
        <v>915</v>
      </c>
      <c r="W232" s="25">
        <f t="shared" si="94"/>
        <v>0.26907373413169366</v>
      </c>
      <c r="Y232" s="25">
        <f t="shared" si="95"/>
        <v>915</v>
      </c>
      <c r="Z232" s="25">
        <f t="shared" si="95"/>
        <v>0.26907373413169366</v>
      </c>
      <c r="AK232" s="25">
        <f t="shared" si="91"/>
        <v>1.3401976207310462</v>
      </c>
      <c r="AM232" s="25">
        <f t="shared" si="89"/>
        <v>1.3401976207310462</v>
      </c>
      <c r="BF232" s="1"/>
      <c r="BG232" s="1"/>
      <c r="BK232" s="1">
        <f t="shared" si="92"/>
        <v>1165</v>
      </c>
      <c r="BL232" s="20">
        <f t="shared" si="92"/>
        <v>1.0102470108104769</v>
      </c>
      <c r="BM232" s="25">
        <f>VLOOKUP(BK232,'Hazard Weighting Functions'!$B$5:$G$1205,4,FALSE)</f>
        <v>0.1</v>
      </c>
      <c r="BN232" s="25">
        <f t="shared" si="102"/>
        <v>0.10102470108104769</v>
      </c>
      <c r="BO232" s="25">
        <f t="shared" si="90"/>
        <v>0.44819992598241626</v>
      </c>
      <c r="BP232" s="20">
        <f t="shared" si="93"/>
        <v>1045</v>
      </c>
      <c r="BQ232" s="20">
        <f t="shared" si="93"/>
        <v>10.24577693557122</v>
      </c>
      <c r="BR232" s="25">
        <f>VLOOKUP(BP232,'Hazard Weighting Functions'!$B$5:$G$1205,4,FALSE)</f>
        <v>0.20399999999999999</v>
      </c>
      <c r="BS232" s="25">
        <f t="shared" si="103"/>
        <v>2.0901384948565287</v>
      </c>
      <c r="BT232" s="25">
        <f t="shared" si="104"/>
        <v>9.5699423782782667</v>
      </c>
    </row>
    <row r="233" spans="2:72">
      <c r="B233" s="25">
        <v>920</v>
      </c>
      <c r="C233" s="36">
        <v>0.26700531416072482</v>
      </c>
      <c r="E233" s="25">
        <v>920</v>
      </c>
      <c r="F233" s="36"/>
      <c r="H233" s="25">
        <v>920</v>
      </c>
      <c r="I233" s="36"/>
      <c r="K233" s="25">
        <v>2020</v>
      </c>
      <c r="L233" s="36"/>
      <c r="N233" s="25">
        <v>1170</v>
      </c>
      <c r="O233" s="36">
        <v>0.97819086639898534</v>
      </c>
      <c r="Q233" s="20">
        <v>1050</v>
      </c>
      <c r="R233" s="36">
        <v>8.6891922822738898</v>
      </c>
      <c r="V233" s="25">
        <f t="shared" si="94"/>
        <v>920</v>
      </c>
      <c r="W233" s="25">
        <f t="shared" si="94"/>
        <v>0.26700531416072482</v>
      </c>
      <c r="Y233" s="25">
        <f t="shared" si="95"/>
        <v>920</v>
      </c>
      <c r="Z233" s="25">
        <f t="shared" si="95"/>
        <v>0.26700531416072482</v>
      </c>
      <c r="AK233" s="25">
        <f t="shared" si="91"/>
        <v>1.1983206414261041</v>
      </c>
      <c r="AM233" s="25">
        <f t="shared" si="89"/>
        <v>1.1983206414261041</v>
      </c>
      <c r="BF233" s="1"/>
      <c r="BG233" s="1"/>
      <c r="BK233" s="1">
        <f t="shared" si="92"/>
        <v>1170</v>
      </c>
      <c r="BL233" s="20">
        <f t="shared" si="92"/>
        <v>0.97819086639898534</v>
      </c>
      <c r="BM233" s="25">
        <f>VLOOKUP(BK233,'Hazard Weighting Functions'!$B$5:$G$1205,4,FALSE)</f>
        <v>0.08</v>
      </c>
      <c r="BN233" s="25">
        <f t="shared" si="102"/>
        <v>7.8255269311918826E-2</v>
      </c>
      <c r="BO233" s="25">
        <f t="shared" si="90"/>
        <v>0.3433253607652027</v>
      </c>
      <c r="BP233" s="20">
        <f t="shared" si="93"/>
        <v>1050</v>
      </c>
      <c r="BQ233" s="20">
        <f t="shared" si="93"/>
        <v>8.6891922822738898</v>
      </c>
      <c r="BR233" s="25">
        <f>VLOOKUP(BP233,'Hazard Weighting Functions'!$B$5:$G$1205,4,FALSE)</f>
        <v>0.2</v>
      </c>
      <c r="BS233" s="25">
        <f t="shared" si="103"/>
        <v>1.737838456454778</v>
      </c>
      <c r="BT233" s="25">
        <f t="shared" si="104"/>
        <v>6.1367410134927178</v>
      </c>
    </row>
    <row r="234" spans="2:72">
      <c r="B234" s="25">
        <v>925</v>
      </c>
      <c r="C234" s="36">
        <v>0.21232294240971686</v>
      </c>
      <c r="E234" s="25">
        <v>925</v>
      </c>
      <c r="F234" s="36"/>
      <c r="H234" s="25">
        <v>925</v>
      </c>
      <c r="I234" s="36"/>
      <c r="K234" s="25">
        <v>2025</v>
      </c>
      <c r="L234" s="36"/>
      <c r="N234" s="25">
        <v>1175</v>
      </c>
      <c r="O234" s="36">
        <v>0.93769642847876589</v>
      </c>
      <c r="Q234" s="20">
        <v>1055</v>
      </c>
      <c r="R234" s="36">
        <v>3.5842897447115458</v>
      </c>
      <c r="V234" s="25">
        <f t="shared" si="94"/>
        <v>925</v>
      </c>
      <c r="W234" s="25">
        <f t="shared" si="94"/>
        <v>0.21232294240971686</v>
      </c>
      <c r="Y234" s="25">
        <f t="shared" si="95"/>
        <v>925</v>
      </c>
      <c r="Z234" s="25">
        <f t="shared" si="95"/>
        <v>0.21232294240971686</v>
      </c>
      <c r="AK234" s="25">
        <f t="shared" si="91"/>
        <v>0.89035082875702032</v>
      </c>
      <c r="AM234" s="25">
        <f t="shared" si="89"/>
        <v>0.89035082875702032</v>
      </c>
      <c r="BF234" s="1"/>
      <c r="BG234" s="1"/>
      <c r="BK234" s="1">
        <f t="shared" si="92"/>
        <v>1175</v>
      </c>
      <c r="BL234" s="20">
        <f t="shared" si="92"/>
        <v>0.93769642847876589</v>
      </c>
      <c r="BM234" s="25">
        <f>VLOOKUP(BK234,'Hazard Weighting Functions'!$B$5:$G$1205,4,FALSE)</f>
        <v>6.3E-2</v>
      </c>
      <c r="BN234" s="25">
        <f t="shared" si="102"/>
        <v>5.9074874994162252E-2</v>
      </c>
      <c r="BO234" s="25">
        <f t="shared" si="90"/>
        <v>0.26182068910390011</v>
      </c>
      <c r="BP234" s="20">
        <f t="shared" si="93"/>
        <v>1055</v>
      </c>
      <c r="BQ234" s="20">
        <f t="shared" si="93"/>
        <v>3.5842897447115458</v>
      </c>
      <c r="BR234" s="25">
        <f>VLOOKUP(BP234,'Hazard Weighting Functions'!$B$5:$G$1205,4,FALSE)</f>
        <v>0.2</v>
      </c>
      <c r="BS234" s="25">
        <f t="shared" si="103"/>
        <v>0.71685794894230925</v>
      </c>
      <c r="BT234" s="25">
        <f t="shared" si="104"/>
        <v>4.3622401564754822</v>
      </c>
    </row>
    <row r="235" spans="2:72">
      <c r="B235" s="25">
        <v>930</v>
      </c>
      <c r="C235" s="36">
        <v>0.14381738909309127</v>
      </c>
      <c r="E235" s="25">
        <v>930</v>
      </c>
      <c r="F235" s="36"/>
      <c r="H235" s="25">
        <v>930</v>
      </c>
      <c r="I235" s="36"/>
      <c r="K235" s="25">
        <v>2030</v>
      </c>
      <c r="L235" s="36"/>
      <c r="N235" s="25">
        <v>1180</v>
      </c>
      <c r="O235" s="36">
        <v>0.91306801294795581</v>
      </c>
      <c r="Q235" s="20">
        <v>1060</v>
      </c>
      <c r="R235" s="36">
        <v>5.1401905682394187</v>
      </c>
      <c r="V235" s="25">
        <f t="shared" si="94"/>
        <v>930</v>
      </c>
      <c r="W235" s="25">
        <f t="shared" si="94"/>
        <v>0.14381738909309127</v>
      </c>
      <c r="Y235" s="25">
        <f t="shared" si="95"/>
        <v>930</v>
      </c>
      <c r="Z235" s="25">
        <f t="shared" si="95"/>
        <v>0.14381738909309127</v>
      </c>
      <c r="AK235" s="25">
        <f t="shared" si="91"/>
        <v>0.62060455522980473</v>
      </c>
      <c r="AM235" s="25">
        <f t="shared" si="89"/>
        <v>0.62060455522980473</v>
      </c>
      <c r="BF235" s="1"/>
      <c r="BG235" s="1"/>
      <c r="BK235" s="1">
        <f t="shared" si="92"/>
        <v>1180</v>
      </c>
      <c r="BL235" s="20">
        <f t="shared" si="92"/>
        <v>0.91306801294795581</v>
      </c>
      <c r="BM235" s="25">
        <f>VLOOKUP(BK235,'Hazard Weighting Functions'!$B$5:$G$1205,4,FALSE)</f>
        <v>0.05</v>
      </c>
      <c r="BN235" s="25">
        <f t="shared" si="102"/>
        <v>4.5653400647397792E-2</v>
      </c>
      <c r="BO235" s="25">
        <f t="shared" si="90"/>
        <v>0.20578262295264979</v>
      </c>
      <c r="BP235" s="20">
        <f t="shared" si="93"/>
        <v>1060</v>
      </c>
      <c r="BQ235" s="20">
        <f t="shared" si="93"/>
        <v>5.1401905682394187</v>
      </c>
      <c r="BR235" s="25">
        <f>VLOOKUP(BP235,'Hazard Weighting Functions'!$B$5:$G$1205,4,FALSE)</f>
        <v>0.2</v>
      </c>
      <c r="BS235" s="25">
        <f t="shared" si="103"/>
        <v>1.0280381136478838</v>
      </c>
      <c r="BT235" s="25">
        <f t="shared" si="104"/>
        <v>4.0995801476023672</v>
      </c>
    </row>
    <row r="236" spans="2:72">
      <c r="B236" s="25">
        <v>935</v>
      </c>
      <c r="C236" s="36">
        <v>0.10442443299883061</v>
      </c>
      <c r="E236" s="25">
        <v>935</v>
      </c>
      <c r="F236" s="36"/>
      <c r="H236" s="25">
        <v>935</v>
      </c>
      <c r="I236" s="36"/>
      <c r="K236" s="25">
        <v>2035</v>
      </c>
      <c r="L236" s="36"/>
      <c r="N236" s="25">
        <v>1185</v>
      </c>
      <c r="O236" s="36">
        <v>0.91649121334155303</v>
      </c>
      <c r="Q236" s="20">
        <v>1065</v>
      </c>
      <c r="R236" s="36">
        <v>3.0589697269653162</v>
      </c>
      <c r="V236" s="25">
        <f t="shared" si="94"/>
        <v>935</v>
      </c>
      <c r="W236" s="25">
        <f t="shared" si="94"/>
        <v>0.10442443299883061</v>
      </c>
      <c r="Y236" s="25">
        <f t="shared" si="95"/>
        <v>935</v>
      </c>
      <c r="Z236" s="25">
        <f t="shared" si="95"/>
        <v>0.10442443299883061</v>
      </c>
      <c r="AK236" s="25">
        <f t="shared" si="91"/>
        <v>0.48504563540912693</v>
      </c>
      <c r="AM236" s="25">
        <f t="shared" si="89"/>
        <v>0.48504563540912693</v>
      </c>
      <c r="BF236" s="1"/>
      <c r="BG236" s="1"/>
      <c r="BK236" s="1">
        <f t="shared" si="92"/>
        <v>1185</v>
      </c>
      <c r="BL236" s="20">
        <f t="shared" si="92"/>
        <v>0.91649121334155303</v>
      </c>
      <c r="BM236" s="25">
        <f>VLOOKUP(BK236,'Hazard Weighting Functions'!$B$5:$G$1205,4,FALSE)</f>
        <v>0.04</v>
      </c>
      <c r="BN236" s="25">
        <f t="shared" si="102"/>
        <v>3.6659648533662124E-2</v>
      </c>
      <c r="BO236" s="25">
        <f t="shared" si="90"/>
        <v>0.16391891694753263</v>
      </c>
      <c r="BP236" s="20">
        <f t="shared" si="93"/>
        <v>1065</v>
      </c>
      <c r="BQ236" s="20">
        <f t="shared" si="93"/>
        <v>3.0589697269653162</v>
      </c>
      <c r="BR236" s="25">
        <f>VLOOKUP(BP236,'Hazard Weighting Functions'!$B$5:$G$1205,4,FALSE)</f>
        <v>0.2</v>
      </c>
      <c r="BS236" s="25">
        <f t="shared" si="103"/>
        <v>0.61179394539306331</v>
      </c>
      <c r="BT236" s="25">
        <f t="shared" si="104"/>
        <v>3.0385726194719176</v>
      </c>
    </row>
    <row r="237" spans="2:72">
      <c r="B237" s="25">
        <v>940</v>
      </c>
      <c r="C237" s="36">
        <v>8.9593821164820148E-2</v>
      </c>
      <c r="E237" s="25">
        <v>940</v>
      </c>
      <c r="F237" s="36"/>
      <c r="H237" s="25">
        <v>940</v>
      </c>
      <c r="I237" s="36"/>
      <c r="K237" s="25">
        <v>2040</v>
      </c>
      <c r="L237" s="36"/>
      <c r="N237" s="25">
        <v>1190</v>
      </c>
      <c r="O237" s="36">
        <v>0.90337244516721671</v>
      </c>
      <c r="Q237" s="20">
        <v>1070</v>
      </c>
      <c r="R237" s="36">
        <v>3.0181755119785181</v>
      </c>
      <c r="V237" s="25">
        <f t="shared" si="94"/>
        <v>940</v>
      </c>
      <c r="W237" s="25">
        <f t="shared" si="94"/>
        <v>8.9593821164820148E-2</v>
      </c>
      <c r="Y237" s="25">
        <f t="shared" si="95"/>
        <v>940</v>
      </c>
      <c r="Z237" s="25">
        <f t="shared" si="95"/>
        <v>8.9593821164820148E-2</v>
      </c>
      <c r="AK237" s="25">
        <f t="shared" si="91"/>
        <v>0.43685872005738957</v>
      </c>
      <c r="AM237" s="25">
        <f t="shared" si="89"/>
        <v>0.43685872005738957</v>
      </c>
      <c r="BF237" s="1"/>
      <c r="BG237" s="1"/>
      <c r="BK237" s="1">
        <f t="shared" si="92"/>
        <v>1190</v>
      </c>
      <c r="BL237" s="20">
        <f t="shared" si="92"/>
        <v>0.90337244516721671</v>
      </c>
      <c r="BM237" s="25">
        <f>VLOOKUP(BK237,'Hazard Weighting Functions'!$B$5:$G$1205,4,FALSE)</f>
        <v>3.2000000000000001E-2</v>
      </c>
      <c r="BN237" s="25">
        <f t="shared" si="102"/>
        <v>2.8907918245350935E-2</v>
      </c>
      <c r="BO237" s="25">
        <f t="shared" si="90"/>
        <v>0.13242180310508223</v>
      </c>
      <c r="BP237" s="20">
        <f t="shared" si="93"/>
        <v>1070</v>
      </c>
      <c r="BQ237" s="20">
        <f t="shared" si="93"/>
        <v>3.0181755119785181</v>
      </c>
      <c r="BR237" s="25">
        <f>VLOOKUP(BP237,'Hazard Weighting Functions'!$B$5:$G$1205,4,FALSE)</f>
        <v>0.2</v>
      </c>
      <c r="BS237" s="25">
        <f t="shared" si="103"/>
        <v>0.60363510239570362</v>
      </c>
      <c r="BT237" s="25">
        <f t="shared" si="104"/>
        <v>3.0902001429023547</v>
      </c>
    </row>
    <row r="238" spans="2:72">
      <c r="B238" s="25">
        <v>945</v>
      </c>
      <c r="C238" s="36">
        <v>8.5149666858135686E-2</v>
      </c>
      <c r="E238" s="25">
        <v>945</v>
      </c>
      <c r="F238" s="36"/>
      <c r="H238" s="25">
        <v>945</v>
      </c>
      <c r="I238" s="36"/>
      <c r="K238" s="25">
        <v>2045</v>
      </c>
      <c r="L238" s="36"/>
      <c r="N238" s="25">
        <v>1195</v>
      </c>
      <c r="O238" s="36">
        <v>0.96243211986727817</v>
      </c>
      <c r="Q238" s="20">
        <v>1075</v>
      </c>
      <c r="R238" s="36">
        <v>3.1622247738261908</v>
      </c>
      <c r="V238" s="25">
        <f t="shared" si="94"/>
        <v>945</v>
      </c>
      <c r="W238" s="25">
        <f t="shared" si="94"/>
        <v>8.5149666858135686E-2</v>
      </c>
      <c r="Y238" s="25">
        <f t="shared" si="95"/>
        <v>945</v>
      </c>
      <c r="Z238" s="25">
        <f t="shared" si="95"/>
        <v>8.5149666858135686E-2</v>
      </c>
      <c r="AK238" s="25">
        <f t="shared" si="91"/>
        <v>0.42762311717712104</v>
      </c>
      <c r="AM238" s="25">
        <f t="shared" si="89"/>
        <v>0.42762311717712104</v>
      </c>
      <c r="BF238" s="1"/>
      <c r="BG238" s="1"/>
      <c r="BK238" s="1">
        <f t="shared" si="92"/>
        <v>1195</v>
      </c>
      <c r="BL238" s="20">
        <f t="shared" si="92"/>
        <v>0.96243211986727817</v>
      </c>
      <c r="BM238" s="25">
        <f>VLOOKUP(BK238,'Hazard Weighting Functions'!$B$5:$G$1205,4,FALSE)</f>
        <v>2.5000000000000001E-2</v>
      </c>
      <c r="BN238" s="25">
        <f t="shared" si="102"/>
        <v>2.4060802996681955E-2</v>
      </c>
      <c r="BO238" s="25">
        <f t="shared" si="90"/>
        <v>0.11074992859504793</v>
      </c>
      <c r="BP238" s="20">
        <f t="shared" si="93"/>
        <v>1075</v>
      </c>
      <c r="BQ238" s="20">
        <f t="shared" si="93"/>
        <v>3.1622247738261908</v>
      </c>
      <c r="BR238" s="25">
        <f>VLOOKUP(BP238,'Hazard Weighting Functions'!$B$5:$G$1205,4,FALSE)</f>
        <v>0.2</v>
      </c>
      <c r="BS238" s="25">
        <f t="shared" si="103"/>
        <v>0.63244495476523821</v>
      </c>
      <c r="BT238" s="25">
        <f t="shared" si="104"/>
        <v>2.6346282781531984</v>
      </c>
    </row>
    <row r="239" spans="2:72">
      <c r="B239" s="25">
        <v>950</v>
      </c>
      <c r="C239" s="36">
        <v>8.5899580012712723E-2</v>
      </c>
      <c r="E239" s="25">
        <v>950</v>
      </c>
      <c r="F239" s="36"/>
      <c r="H239" s="25">
        <v>950</v>
      </c>
      <c r="I239" s="36"/>
      <c r="K239" s="25">
        <v>2050</v>
      </c>
      <c r="L239" s="36"/>
      <c r="N239" s="25">
        <v>1200</v>
      </c>
      <c r="O239" s="36">
        <v>1.0119584220668605</v>
      </c>
      <c r="Q239" s="20">
        <v>1080</v>
      </c>
      <c r="R239" s="36">
        <v>2.1070317824802056</v>
      </c>
      <c r="V239" s="25">
        <f t="shared" si="94"/>
        <v>950</v>
      </c>
      <c r="W239" s="25">
        <f t="shared" si="94"/>
        <v>8.5899580012712723E-2</v>
      </c>
      <c r="Y239" s="25">
        <f t="shared" si="95"/>
        <v>950</v>
      </c>
      <c r="Z239" s="25">
        <f t="shared" si="95"/>
        <v>8.5899580012712723E-2</v>
      </c>
      <c r="AK239" s="25">
        <f t="shared" si="91"/>
        <v>0.44617070795248681</v>
      </c>
      <c r="AM239" s="25">
        <f t="shared" si="89"/>
        <v>0.44617070795248681</v>
      </c>
      <c r="BF239" s="1"/>
      <c r="BG239" s="1"/>
      <c r="BK239" s="1">
        <f t="shared" si="92"/>
        <v>1200</v>
      </c>
      <c r="BL239" s="20">
        <f t="shared" si="92"/>
        <v>1.0119584220668605</v>
      </c>
      <c r="BM239" s="25">
        <f>VLOOKUP(BK239,'Hazard Weighting Functions'!$B$5:$G$1205,4,FALSE)</f>
        <v>0.02</v>
      </c>
      <c r="BN239" s="25">
        <f t="shared" si="102"/>
        <v>2.0239168441337212E-2</v>
      </c>
      <c r="BO239" s="25">
        <f t="shared" si="90"/>
        <v>0.10370765535946427</v>
      </c>
      <c r="BP239" s="20">
        <f t="shared" si="93"/>
        <v>1080</v>
      </c>
      <c r="BQ239" s="20">
        <f t="shared" si="93"/>
        <v>2.1070317824802056</v>
      </c>
      <c r="BR239" s="25">
        <f>VLOOKUP(BP239,'Hazard Weighting Functions'!$B$5:$G$1205,4,FALSE)</f>
        <v>0.2</v>
      </c>
      <c r="BS239" s="25">
        <f t="shared" si="103"/>
        <v>0.42140635649604113</v>
      </c>
      <c r="BT239" s="25">
        <f t="shared" si="104"/>
        <v>2.2264879653466001</v>
      </c>
    </row>
    <row r="240" spans="2:72">
      <c r="B240" s="25">
        <v>955</v>
      </c>
      <c r="C240" s="36">
        <v>9.2568703168282002E-2</v>
      </c>
      <c r="E240" s="25">
        <v>955</v>
      </c>
      <c r="F240" s="36"/>
      <c r="H240" s="25">
        <v>955</v>
      </c>
      <c r="I240" s="36"/>
      <c r="K240" s="25">
        <v>2055</v>
      </c>
      <c r="L240" s="36"/>
      <c r="N240" s="25">
        <v>1205</v>
      </c>
      <c r="O240" s="36">
        <v>1.0621946851224247</v>
      </c>
      <c r="Q240" s="20">
        <v>1085</v>
      </c>
      <c r="R240" s="36">
        <v>2.345944148212995</v>
      </c>
      <c r="V240" s="25">
        <f t="shared" si="94"/>
        <v>955</v>
      </c>
      <c r="W240" s="25">
        <f t="shared" si="94"/>
        <v>9.2568703168282002E-2</v>
      </c>
      <c r="Y240" s="25">
        <f t="shared" si="95"/>
        <v>955</v>
      </c>
      <c r="Z240" s="25">
        <f t="shared" si="95"/>
        <v>9.2568703168282002E-2</v>
      </c>
      <c r="AK240" s="25">
        <f t="shared" si="91"/>
        <v>0.53284378947294442</v>
      </c>
      <c r="AM240" s="25">
        <f t="shared" si="89"/>
        <v>0.53284378947294442</v>
      </c>
      <c r="BF240" s="1"/>
      <c r="BG240" s="1"/>
      <c r="BK240" s="1">
        <f t="shared" si="92"/>
        <v>1205</v>
      </c>
      <c r="BL240" s="20">
        <f t="shared" si="92"/>
        <v>1.0621946851224247</v>
      </c>
      <c r="BM240" s="25">
        <f>VLOOKUP(BK240,'Hazard Weighting Functions'!$B$5:$G$1205,4,FALSE)</f>
        <v>0.02</v>
      </c>
      <c r="BN240" s="25">
        <f t="shared" si="102"/>
        <v>2.1243893702448495E-2</v>
      </c>
      <c r="BO240" s="25">
        <f t="shared" si="90"/>
        <v>0.10808963019480838</v>
      </c>
      <c r="BP240" s="20">
        <f t="shared" si="93"/>
        <v>1085</v>
      </c>
      <c r="BQ240" s="20">
        <f t="shared" si="93"/>
        <v>2.345944148212995</v>
      </c>
      <c r="BR240" s="25">
        <f>VLOOKUP(BP240,'Hazard Weighting Functions'!$B$5:$G$1205,4,FALSE)</f>
        <v>0.2</v>
      </c>
      <c r="BS240" s="25">
        <f t="shared" si="103"/>
        <v>0.469188829642599</v>
      </c>
      <c r="BT240" s="25">
        <f t="shared" si="104"/>
        <v>1.663900419546184</v>
      </c>
    </row>
    <row r="241" spans="2:72">
      <c r="B241" s="25">
        <v>960</v>
      </c>
      <c r="C241" s="36">
        <v>0.12056881262089575</v>
      </c>
      <c r="E241" s="25">
        <v>960</v>
      </c>
      <c r="F241" s="36"/>
      <c r="H241" s="25">
        <v>960</v>
      </c>
      <c r="I241" s="36"/>
      <c r="K241" s="25">
        <v>2060</v>
      </c>
      <c r="L241" s="36"/>
      <c r="N241" s="25">
        <v>1210</v>
      </c>
      <c r="O241" s="36">
        <v>1.099597918773743</v>
      </c>
      <c r="Q241" s="20">
        <v>1090</v>
      </c>
      <c r="R241" s="36">
        <v>0.98185669087937311</v>
      </c>
      <c r="V241" s="25">
        <f t="shared" si="94"/>
        <v>960</v>
      </c>
      <c r="W241" s="25">
        <f t="shared" si="94"/>
        <v>0.12056881262089575</v>
      </c>
      <c r="Y241" s="25">
        <f t="shared" si="95"/>
        <v>960</v>
      </c>
      <c r="Z241" s="25">
        <f t="shared" si="95"/>
        <v>0.12056881262089575</v>
      </c>
      <c r="AK241" s="25">
        <f t="shared" si="91"/>
        <v>0.74517235689919192</v>
      </c>
      <c r="AM241" s="25">
        <f t="shared" si="89"/>
        <v>0.74517235689919192</v>
      </c>
      <c r="BF241" s="1"/>
      <c r="BG241" s="1"/>
      <c r="BK241" s="1">
        <f t="shared" si="92"/>
        <v>1210</v>
      </c>
      <c r="BL241" s="20">
        <f t="shared" si="92"/>
        <v>1.099597918773743</v>
      </c>
      <c r="BM241" s="25">
        <f>VLOOKUP(BK241,'Hazard Weighting Functions'!$B$5:$G$1205,4,FALSE)</f>
        <v>0.02</v>
      </c>
      <c r="BN241" s="25">
        <f t="shared" si="102"/>
        <v>2.1991958375474862E-2</v>
      </c>
      <c r="BO241" s="25">
        <f t="shared" si="90"/>
        <v>0.11205025010090405</v>
      </c>
      <c r="BP241" s="20">
        <f t="shared" si="93"/>
        <v>1090</v>
      </c>
      <c r="BQ241" s="20">
        <f t="shared" si="93"/>
        <v>0.98185669087937311</v>
      </c>
      <c r="BR241" s="25">
        <f>VLOOKUP(BP241,'Hazard Weighting Functions'!$B$5:$G$1205,4,FALSE)</f>
        <v>0.2</v>
      </c>
      <c r="BS241" s="25">
        <f t="shared" si="103"/>
        <v>0.19637133817587463</v>
      </c>
      <c r="BT241" s="25">
        <f t="shared" si="104"/>
        <v>1.0634604584891005</v>
      </c>
    </row>
    <row r="242" spans="2:72">
      <c r="B242" s="25">
        <v>965</v>
      </c>
      <c r="C242" s="36">
        <v>0.17750013013878102</v>
      </c>
      <c r="E242" s="25">
        <v>965</v>
      </c>
      <c r="F242" s="36"/>
      <c r="H242" s="25">
        <v>965</v>
      </c>
      <c r="I242" s="36"/>
      <c r="K242" s="25">
        <v>2065</v>
      </c>
      <c r="L242" s="36"/>
      <c r="N242" s="25">
        <v>1215</v>
      </c>
      <c r="O242" s="36">
        <v>1.1414070832443377</v>
      </c>
      <c r="Q242" s="20">
        <v>1095</v>
      </c>
      <c r="R242" s="36">
        <v>1.145064226098828</v>
      </c>
      <c r="V242" s="25">
        <f t="shared" si="94"/>
        <v>965</v>
      </c>
      <c r="W242" s="25">
        <f t="shared" si="94"/>
        <v>0.17750013013878102</v>
      </c>
      <c r="Y242" s="25">
        <f t="shared" si="95"/>
        <v>965</v>
      </c>
      <c r="Z242" s="25">
        <f t="shared" si="95"/>
        <v>0.17750013013878102</v>
      </c>
      <c r="AK242" s="25">
        <f t="shared" si="91"/>
        <v>1.0063253894033091</v>
      </c>
      <c r="AM242" s="25">
        <f t="shared" si="89"/>
        <v>1.0063253894033091</v>
      </c>
      <c r="BF242" s="1"/>
      <c r="BG242" s="1"/>
      <c r="BK242" s="1">
        <f t="shared" si="92"/>
        <v>1215</v>
      </c>
      <c r="BL242" s="20">
        <f t="shared" si="92"/>
        <v>1.1414070832443377</v>
      </c>
      <c r="BM242" s="25">
        <f>VLOOKUP(BK242,'Hazard Weighting Functions'!$B$5:$G$1205,4,FALSE)</f>
        <v>0.02</v>
      </c>
      <c r="BN242" s="25">
        <f t="shared" si="102"/>
        <v>2.2828141664886753E-2</v>
      </c>
      <c r="BO242" s="25">
        <f t="shared" si="90"/>
        <v>0.11633144642957435</v>
      </c>
      <c r="BP242" s="20">
        <f t="shared" si="93"/>
        <v>1095</v>
      </c>
      <c r="BQ242" s="20">
        <f t="shared" si="93"/>
        <v>1.145064226098828</v>
      </c>
      <c r="BR242" s="25">
        <f>VLOOKUP(BP242,'Hazard Weighting Functions'!$B$5:$G$1205,4,FALSE)</f>
        <v>0.2</v>
      </c>
      <c r="BS242" s="25">
        <f t="shared" si="103"/>
        <v>0.22901284521976562</v>
      </c>
      <c r="BT242" s="25">
        <f t="shared" si="104"/>
        <v>0.68498426319213046</v>
      </c>
    </row>
    <row r="243" spans="2:72">
      <c r="B243" s="25">
        <v>970</v>
      </c>
      <c r="C243" s="36">
        <v>0.22503002562254265</v>
      </c>
      <c r="E243" s="25">
        <v>970</v>
      </c>
      <c r="F243" s="36"/>
      <c r="H243" s="25">
        <v>970</v>
      </c>
      <c r="I243" s="36"/>
      <c r="K243" s="25">
        <v>2070</v>
      </c>
      <c r="L243" s="36"/>
      <c r="N243" s="25">
        <v>1220</v>
      </c>
      <c r="O243" s="36">
        <v>1.1852218453471495</v>
      </c>
      <c r="Q243" s="20">
        <v>1100</v>
      </c>
      <c r="R243" s="36">
        <v>0.2249043002854329</v>
      </c>
      <c r="V243" s="25">
        <f t="shared" si="94"/>
        <v>970</v>
      </c>
      <c r="W243" s="25">
        <f t="shared" si="94"/>
        <v>0.22503002562254265</v>
      </c>
      <c r="Y243" s="25">
        <f t="shared" si="95"/>
        <v>970</v>
      </c>
      <c r="Z243" s="25">
        <f t="shared" si="95"/>
        <v>0.22503002562254265</v>
      </c>
      <c r="AK243" s="25">
        <f t="shared" si="91"/>
        <v>1.1377061948061116</v>
      </c>
      <c r="AM243" s="25">
        <f t="shared" si="89"/>
        <v>1.1377061948061116</v>
      </c>
      <c r="BF243" s="1"/>
      <c r="BG243" s="1"/>
      <c r="BK243" s="1">
        <f t="shared" si="92"/>
        <v>1220</v>
      </c>
      <c r="BL243" s="20">
        <f t="shared" si="92"/>
        <v>1.1852218453471495</v>
      </c>
      <c r="BM243" s="25">
        <f>VLOOKUP(BK243,'Hazard Weighting Functions'!$B$5:$G$1205,4,FALSE)</f>
        <v>0.02</v>
      </c>
      <c r="BN243" s="25">
        <f t="shared" si="102"/>
        <v>2.3704436906942988E-2</v>
      </c>
      <c r="BO243" s="25">
        <f t="shared" si="90"/>
        <v>0.12069998642837101</v>
      </c>
      <c r="BP243" s="20">
        <f t="shared" si="93"/>
        <v>1100</v>
      </c>
      <c r="BQ243" s="20">
        <f t="shared" si="93"/>
        <v>0.2249043002854329</v>
      </c>
      <c r="BR243" s="25">
        <f>VLOOKUP(BP243,'Hazard Weighting Functions'!$B$5:$G$1205,4,FALSE)</f>
        <v>0.2</v>
      </c>
      <c r="BS243" s="25">
        <f t="shared" si="103"/>
        <v>4.4980860057086583E-2</v>
      </c>
      <c r="BT243" s="25">
        <f t="shared" si="104"/>
        <v>0.25986483485599615</v>
      </c>
    </row>
    <row r="244" spans="2:72">
      <c r="B244" s="25">
        <v>975</v>
      </c>
      <c r="C244" s="36">
        <v>0.23005245229990201</v>
      </c>
      <c r="E244" s="25">
        <v>975</v>
      </c>
      <c r="F244" s="36"/>
      <c r="H244" s="25">
        <v>975</v>
      </c>
      <c r="I244" s="36"/>
      <c r="K244" s="25">
        <v>2075</v>
      </c>
      <c r="L244" s="36"/>
      <c r="N244" s="25">
        <v>1225</v>
      </c>
      <c r="O244" s="36">
        <v>1.2287778832202707</v>
      </c>
      <c r="Q244" s="20">
        <v>1105</v>
      </c>
      <c r="R244" s="36">
        <v>0.29482536942655935</v>
      </c>
      <c r="V244" s="25">
        <f t="shared" si="94"/>
        <v>975</v>
      </c>
      <c r="W244" s="25">
        <f t="shared" si="94"/>
        <v>0.23005245229990201</v>
      </c>
      <c r="Y244" s="25">
        <f t="shared" si="95"/>
        <v>975</v>
      </c>
      <c r="Z244" s="25">
        <f t="shared" si="95"/>
        <v>0.23005245229990201</v>
      </c>
      <c r="AK244" s="25">
        <f t="shared" si="91"/>
        <v>1.1408825021864279</v>
      </c>
      <c r="AM244" s="25">
        <f t="shared" si="89"/>
        <v>1.1408825021864279</v>
      </c>
      <c r="BF244" s="1"/>
      <c r="BG244" s="1"/>
      <c r="BK244" s="1">
        <f t="shared" si="92"/>
        <v>1225</v>
      </c>
      <c r="BL244" s="20">
        <f t="shared" si="92"/>
        <v>1.2287778832202707</v>
      </c>
      <c r="BM244" s="25">
        <f>VLOOKUP(BK244,'Hazard Weighting Functions'!$B$5:$G$1205,4,FALSE)</f>
        <v>0.02</v>
      </c>
      <c r="BN244" s="25">
        <f t="shared" si="102"/>
        <v>2.4575557664405414E-2</v>
      </c>
      <c r="BO244" s="25">
        <f t="shared" si="90"/>
        <v>0.12481074186805372</v>
      </c>
      <c r="BP244" s="20">
        <f t="shared" si="93"/>
        <v>1105</v>
      </c>
      <c r="BQ244" s="20">
        <f t="shared" si="93"/>
        <v>0.29482536942655935</v>
      </c>
      <c r="BR244" s="25">
        <f>VLOOKUP(BP244,'Hazard Weighting Functions'!$B$5:$G$1205,4,FALSE)</f>
        <v>0.2</v>
      </c>
      <c r="BS244" s="25">
        <f t="shared" si="103"/>
        <v>5.8965073885311872E-2</v>
      </c>
      <c r="BT244" s="25">
        <f t="shared" si="104"/>
        <v>0.14741268471327967</v>
      </c>
    </row>
    <row r="245" spans="2:72">
      <c r="B245" s="25">
        <v>980</v>
      </c>
      <c r="C245" s="36">
        <v>0.22630054857466916</v>
      </c>
      <c r="E245" s="25">
        <v>980</v>
      </c>
      <c r="F245" s="36"/>
      <c r="H245" s="25">
        <v>980</v>
      </c>
      <c r="I245" s="36"/>
      <c r="K245" s="25">
        <v>2080</v>
      </c>
      <c r="L245" s="36"/>
      <c r="N245" s="25">
        <v>1230</v>
      </c>
      <c r="O245" s="36">
        <v>1.2674369541408035</v>
      </c>
      <c r="Q245" s="20">
        <v>1110</v>
      </c>
      <c r="R245" s="36">
        <v>0</v>
      </c>
      <c r="V245" s="25">
        <f t="shared" si="94"/>
        <v>980</v>
      </c>
      <c r="W245" s="25">
        <f t="shared" si="94"/>
        <v>0.22630054857466916</v>
      </c>
      <c r="Y245" s="25">
        <f t="shared" si="95"/>
        <v>980</v>
      </c>
      <c r="Z245" s="25">
        <f t="shared" si="95"/>
        <v>0.22630054857466916</v>
      </c>
      <c r="AK245" s="25">
        <f t="shared" si="91"/>
        <v>1.1908450513462148</v>
      </c>
      <c r="AM245" s="25">
        <f t="shared" si="89"/>
        <v>1.1908450513462148</v>
      </c>
      <c r="BF245" s="1"/>
      <c r="BG245" s="1"/>
      <c r="BK245" s="1">
        <f t="shared" si="92"/>
        <v>1230</v>
      </c>
      <c r="BL245" s="20">
        <f t="shared" si="92"/>
        <v>1.2674369541408035</v>
      </c>
      <c r="BM245" s="25">
        <f>VLOOKUP(BK245,'Hazard Weighting Functions'!$B$5:$G$1205,4,FALSE)</f>
        <v>0.02</v>
      </c>
      <c r="BN245" s="25">
        <f t="shared" si="102"/>
        <v>2.5348739082816069E-2</v>
      </c>
      <c r="BO245" s="25">
        <f t="shared" si="90"/>
        <v>0.12906588541948566</v>
      </c>
      <c r="BP245" s="20">
        <f t="shared" si="93"/>
        <v>1110</v>
      </c>
      <c r="BQ245" s="20">
        <f t="shared" si="93"/>
        <v>0</v>
      </c>
      <c r="BR245" s="25">
        <f>VLOOKUP(BP245,'Hazard Weighting Functions'!$B$5:$G$1205,4,FALSE)</f>
        <v>0.2</v>
      </c>
      <c r="BS245" s="25">
        <f t="shared" si="103"/>
        <v>0</v>
      </c>
      <c r="BT245" s="25">
        <f t="shared" si="104"/>
        <v>2.7226670260519843E-2</v>
      </c>
    </row>
    <row r="246" spans="2:72">
      <c r="B246" s="25">
        <v>985</v>
      </c>
      <c r="C246" s="36">
        <v>0.25003747196381676</v>
      </c>
      <c r="E246" s="25">
        <v>985</v>
      </c>
      <c r="F246" s="36"/>
      <c r="H246" s="25">
        <v>985</v>
      </c>
      <c r="I246" s="36"/>
      <c r="K246" s="25">
        <v>2085</v>
      </c>
      <c r="L246" s="36"/>
      <c r="N246" s="25">
        <v>1235</v>
      </c>
      <c r="O246" s="36">
        <v>1.3138807542489095</v>
      </c>
      <c r="Q246" s="20">
        <v>1115</v>
      </c>
      <c r="R246" s="36">
        <v>5.445334052103968E-2</v>
      </c>
      <c r="V246" s="25">
        <f t="shared" si="94"/>
        <v>985</v>
      </c>
      <c r="W246" s="25">
        <f t="shared" si="94"/>
        <v>0.25003747196381676</v>
      </c>
      <c r="Y246" s="25">
        <f t="shared" si="95"/>
        <v>985</v>
      </c>
      <c r="Z246" s="25">
        <f t="shared" si="95"/>
        <v>0.25003747196381676</v>
      </c>
      <c r="AK246" s="25">
        <f t="shared" si="91"/>
        <v>1.3271118580617411</v>
      </c>
      <c r="AM246" s="25">
        <f t="shared" si="89"/>
        <v>1.3271118580617411</v>
      </c>
      <c r="BF246" s="1"/>
      <c r="BG246" s="1"/>
      <c r="BK246" s="1">
        <f t="shared" si="92"/>
        <v>1235</v>
      </c>
      <c r="BL246" s="20">
        <f t="shared" si="92"/>
        <v>1.3138807542489095</v>
      </c>
      <c r="BM246" s="25">
        <f>VLOOKUP(BK246,'Hazard Weighting Functions'!$B$5:$G$1205,4,FALSE)</f>
        <v>0.02</v>
      </c>
      <c r="BN246" s="25">
        <f t="shared" si="102"/>
        <v>2.6277615084978192E-2</v>
      </c>
      <c r="BO246" s="25">
        <f t="shared" si="90"/>
        <v>0.13377512122462165</v>
      </c>
      <c r="BP246" s="20">
        <f t="shared" si="93"/>
        <v>1115</v>
      </c>
      <c r="BQ246" s="20">
        <f t="shared" si="93"/>
        <v>5.445334052103968E-2</v>
      </c>
      <c r="BR246" s="25">
        <f>VLOOKUP(BP246,'Hazard Weighting Functions'!$B$5:$G$1205,4,FALSE)</f>
        <v>0.2</v>
      </c>
      <c r="BS246" s="25">
        <f t="shared" si="103"/>
        <v>1.0890668104207937E-2</v>
      </c>
      <c r="BT246" s="25">
        <f t="shared" si="104"/>
        <v>0.16995468007984521</v>
      </c>
    </row>
    <row r="247" spans="2:72">
      <c r="B247" s="25">
        <v>990</v>
      </c>
      <c r="C247" s="36">
        <v>0.28080727126087968</v>
      </c>
      <c r="E247" s="25">
        <v>990</v>
      </c>
      <c r="F247" s="36"/>
      <c r="H247" s="25">
        <v>990</v>
      </c>
      <c r="I247" s="36"/>
      <c r="K247" s="25">
        <v>2090</v>
      </c>
      <c r="L247" s="36"/>
      <c r="N247" s="25">
        <v>1240</v>
      </c>
      <c r="O247" s="36">
        <v>1.3616216702435235</v>
      </c>
      <c r="Q247" s="20">
        <v>1120</v>
      </c>
      <c r="R247" s="36">
        <v>0.28545601963865075</v>
      </c>
      <c r="V247" s="25">
        <f t="shared" si="94"/>
        <v>990</v>
      </c>
      <c r="W247" s="25">
        <f t="shared" si="94"/>
        <v>0.28080727126087968</v>
      </c>
      <c r="Y247" s="25">
        <f t="shared" si="95"/>
        <v>990</v>
      </c>
      <c r="Z247" s="25">
        <f t="shared" si="95"/>
        <v>0.28080727126087968</v>
      </c>
      <c r="AK247" s="25">
        <f t="shared" si="91"/>
        <v>1.4316194383250822</v>
      </c>
      <c r="AM247" s="25">
        <f t="shared" si="89"/>
        <v>1.4316194383250822</v>
      </c>
      <c r="BF247" s="1"/>
      <c r="BG247" s="1"/>
      <c r="BK247" s="1">
        <f t="shared" si="92"/>
        <v>1240</v>
      </c>
      <c r="BL247" s="20">
        <f t="shared" si="92"/>
        <v>1.3616216702435235</v>
      </c>
      <c r="BM247" s="25">
        <f>VLOOKUP(BK247,'Hazard Weighting Functions'!$B$5:$G$1205,4,FALSE)</f>
        <v>0.02</v>
      </c>
      <c r="BN247" s="25">
        <f t="shared" si="102"/>
        <v>2.7232433404870471E-2</v>
      </c>
      <c r="BO247" s="25">
        <f t="shared" si="90"/>
        <v>0.13864944526057854</v>
      </c>
      <c r="BP247" s="20">
        <f t="shared" si="93"/>
        <v>1120</v>
      </c>
      <c r="BQ247" s="20">
        <f t="shared" si="93"/>
        <v>0.28545601963865075</v>
      </c>
      <c r="BR247" s="25">
        <f>VLOOKUP(BP247,'Hazard Weighting Functions'!$B$5:$G$1205,4,FALSE)</f>
        <v>0.2</v>
      </c>
      <c r="BS247" s="25">
        <f t="shared" si="103"/>
        <v>5.709120392773015E-2</v>
      </c>
      <c r="BT247" s="25">
        <f t="shared" si="104"/>
        <v>0.4352900595534458</v>
      </c>
    </row>
    <row r="248" spans="2:72">
      <c r="B248" s="25">
        <v>995</v>
      </c>
      <c r="C248" s="36">
        <v>0.29184050406915318</v>
      </c>
      <c r="E248" s="25">
        <v>995</v>
      </c>
      <c r="F248" s="36"/>
      <c r="H248" s="25">
        <v>995</v>
      </c>
      <c r="I248" s="36"/>
      <c r="K248" s="25">
        <v>2095</v>
      </c>
      <c r="L248" s="36"/>
      <c r="N248" s="25">
        <v>1245</v>
      </c>
      <c r="O248" s="36">
        <v>1.4113672349680475</v>
      </c>
      <c r="Q248" s="20">
        <v>1125</v>
      </c>
      <c r="R248" s="36">
        <v>0.58512409946824084</v>
      </c>
      <c r="V248" s="25">
        <f t="shared" si="94"/>
        <v>995</v>
      </c>
      <c r="W248" s="25">
        <f t="shared" si="94"/>
        <v>0.29184050406915318</v>
      </c>
      <c r="Y248" s="25">
        <f t="shared" si="95"/>
        <v>995</v>
      </c>
      <c r="Z248" s="25">
        <f t="shared" si="95"/>
        <v>0.29184050406915318</v>
      </c>
      <c r="AK248" s="25">
        <f t="shared" si="91"/>
        <v>1.4491834400589103</v>
      </c>
      <c r="AM248" s="25">
        <f t="shared" ref="AM248:AM311" si="105">0.5*(V249-V248)*(W248+W249)</f>
        <v>1.4491834400589103</v>
      </c>
      <c r="BF248" s="1"/>
      <c r="BG248" s="1"/>
      <c r="BK248" s="1">
        <f t="shared" si="92"/>
        <v>1245</v>
      </c>
      <c r="BL248" s="20">
        <f t="shared" si="92"/>
        <v>1.4113672349680475</v>
      </c>
      <c r="BM248" s="25">
        <f>VLOOKUP(BK248,'Hazard Weighting Functions'!$B$5:$G$1205,4,FALSE)</f>
        <v>0.02</v>
      </c>
      <c r="BN248" s="25">
        <f t="shared" si="102"/>
        <v>2.8227344699360949E-2</v>
      </c>
      <c r="BO248" s="25">
        <f t="shared" si="90"/>
        <v>0.12874477994465214</v>
      </c>
      <c r="BP248" s="20">
        <f t="shared" si="93"/>
        <v>1125</v>
      </c>
      <c r="BQ248" s="20">
        <f t="shared" si="93"/>
        <v>0.58512409946824084</v>
      </c>
      <c r="BR248" s="25">
        <f>VLOOKUP(BP248,'Hazard Weighting Functions'!$B$5:$G$1205,4,FALSE)</f>
        <v>0.2</v>
      </c>
      <c r="BS248" s="25">
        <f t="shared" si="103"/>
        <v>0.11702481989364817</v>
      </c>
      <c r="BT248" s="25">
        <f t="shared" si="104"/>
        <v>0.65174482188913019</v>
      </c>
    </row>
    <row r="249" spans="2:72">
      <c r="B249" s="25">
        <v>1000</v>
      </c>
      <c r="C249" s="36">
        <v>0.28783287195441098</v>
      </c>
      <c r="E249" s="25">
        <v>1000</v>
      </c>
      <c r="F249" s="36"/>
      <c r="H249" s="25">
        <v>1000</v>
      </c>
      <c r="I249" s="36"/>
      <c r="K249" s="25">
        <v>2100</v>
      </c>
      <c r="L249" s="36"/>
      <c r="N249" s="25">
        <v>1250</v>
      </c>
      <c r="O249" s="36">
        <v>1.1635283639249951</v>
      </c>
      <c r="Q249" s="20">
        <v>1130</v>
      </c>
      <c r="R249" s="36">
        <v>0.71836554431001942</v>
      </c>
      <c r="V249" s="25">
        <f t="shared" si="94"/>
        <v>1000</v>
      </c>
      <c r="W249" s="25">
        <f t="shared" si="94"/>
        <v>0.28783287195441098</v>
      </c>
      <c r="Y249" s="25">
        <f t="shared" si="95"/>
        <v>1000</v>
      </c>
      <c r="Z249" s="25">
        <f t="shared" si="95"/>
        <v>0.28783287195441098</v>
      </c>
      <c r="AK249" s="25">
        <f t="shared" si="91"/>
        <v>1.4195875085306031</v>
      </c>
      <c r="AM249" s="25">
        <f t="shared" si="105"/>
        <v>1.4195875085306031</v>
      </c>
      <c r="BF249" s="1"/>
      <c r="BG249" s="1"/>
      <c r="BK249" s="1">
        <f t="shared" si="92"/>
        <v>1250</v>
      </c>
      <c r="BL249" s="20">
        <f t="shared" si="92"/>
        <v>1.1635283639249951</v>
      </c>
      <c r="BM249" s="25">
        <f>VLOOKUP(BK249,'Hazard Weighting Functions'!$B$5:$G$1205,4,FALSE)</f>
        <v>0.02</v>
      </c>
      <c r="BN249" s="25">
        <f t="shared" si="102"/>
        <v>2.3270567278499903E-2</v>
      </c>
      <c r="BO249" s="25">
        <f t="shared" si="90"/>
        <v>0.1193008041831414</v>
      </c>
      <c r="BP249" s="20">
        <f t="shared" si="93"/>
        <v>1130</v>
      </c>
      <c r="BQ249" s="20">
        <f t="shared" si="93"/>
        <v>0.71836554431001942</v>
      </c>
      <c r="BR249" s="25">
        <f>VLOOKUP(BP249,'Hazard Weighting Functions'!$B$5:$G$1205,4,FALSE)</f>
        <v>0.2</v>
      </c>
      <c r="BS249" s="25">
        <f t="shared" si="103"/>
        <v>0.14367310886200388</v>
      </c>
      <c r="BT249" s="25">
        <f t="shared" si="104"/>
        <v>0.53185566825693398</v>
      </c>
    </row>
    <row r="250" spans="2:72">
      <c r="B250" s="25">
        <v>1005</v>
      </c>
      <c r="C250" s="36">
        <v>0.28000213145783021</v>
      </c>
      <c r="E250" s="25">
        <v>1005</v>
      </c>
      <c r="F250" s="36"/>
      <c r="H250" s="25">
        <v>1005</v>
      </c>
      <c r="I250" s="36"/>
      <c r="K250" s="25">
        <v>2105</v>
      </c>
      <c r="L250" s="36"/>
      <c r="N250" s="25">
        <v>1255</v>
      </c>
      <c r="O250" s="36">
        <v>1.2224877197378328</v>
      </c>
      <c r="Q250" s="20">
        <v>1135</v>
      </c>
      <c r="R250" s="36">
        <v>0.34534579220384859</v>
      </c>
      <c r="V250" s="25">
        <f t="shared" si="94"/>
        <v>1005</v>
      </c>
      <c r="W250" s="25">
        <f t="shared" si="94"/>
        <v>0.28000213145783021</v>
      </c>
      <c r="Y250" s="25">
        <f t="shared" si="95"/>
        <v>1005</v>
      </c>
      <c r="Z250" s="25">
        <f t="shared" si="95"/>
        <v>0.28000213145783021</v>
      </c>
      <c r="AK250" s="25">
        <f t="shared" si="91"/>
        <v>1.3854781162938812</v>
      </c>
      <c r="AM250" s="25">
        <f t="shared" si="105"/>
        <v>1.3854781162938812</v>
      </c>
      <c r="BF250" s="1"/>
      <c r="BG250" s="1"/>
      <c r="BK250" s="1">
        <f t="shared" si="92"/>
        <v>1255</v>
      </c>
      <c r="BL250" s="20">
        <f t="shared" si="92"/>
        <v>1.2224877197378328</v>
      </c>
      <c r="BM250" s="25">
        <f>VLOOKUP(BK250,'Hazard Weighting Functions'!$B$5:$G$1205,4,FALSE)</f>
        <v>0.02</v>
      </c>
      <c r="BN250" s="25">
        <f t="shared" si="102"/>
        <v>2.4449754394756655E-2</v>
      </c>
      <c r="BO250" s="25">
        <f t="shared" si="90"/>
        <v>0.12517159995680427</v>
      </c>
      <c r="BP250" s="20">
        <f t="shared" si="93"/>
        <v>1135</v>
      </c>
      <c r="BQ250" s="20">
        <f t="shared" si="93"/>
        <v>0.34534579220384859</v>
      </c>
      <c r="BR250" s="25">
        <f>VLOOKUP(BP250,'Hazard Weighting Functions'!$B$5:$G$1205,4,FALSE)</f>
        <v>0.2</v>
      </c>
      <c r="BS250" s="25">
        <f t="shared" si="103"/>
        <v>6.9069158440769718E-2</v>
      </c>
      <c r="BT250" s="25">
        <f t="shared" si="104"/>
        <v>0.17267289610192429</v>
      </c>
    </row>
    <row r="251" spans="2:72">
      <c r="B251" s="25">
        <v>1010</v>
      </c>
      <c r="C251" s="36">
        <v>0.27418911505972232</v>
      </c>
      <c r="E251" s="25">
        <v>1010</v>
      </c>
      <c r="F251" s="36"/>
      <c r="H251" s="25">
        <v>1010</v>
      </c>
      <c r="I251" s="36"/>
      <c r="K251" s="25">
        <v>2110</v>
      </c>
      <c r="L251" s="36"/>
      <c r="N251" s="25">
        <v>1260</v>
      </c>
      <c r="O251" s="36">
        <v>1.2809442793982526</v>
      </c>
      <c r="Q251" s="20">
        <v>1140</v>
      </c>
      <c r="R251" s="36">
        <v>0</v>
      </c>
      <c r="V251" s="25">
        <f t="shared" si="94"/>
        <v>1010</v>
      </c>
      <c r="W251" s="25">
        <f t="shared" si="94"/>
        <v>0.27418911505972232</v>
      </c>
      <c r="Y251" s="25">
        <f t="shared" si="95"/>
        <v>1010</v>
      </c>
      <c r="Z251" s="25">
        <f t="shared" si="95"/>
        <v>0.27418911505972232</v>
      </c>
      <c r="AK251" s="25">
        <f t="shared" si="91"/>
        <v>1.3687487650896673</v>
      </c>
      <c r="AM251" s="25">
        <f t="shared" si="105"/>
        <v>1.3687487650896673</v>
      </c>
      <c r="BF251" s="1"/>
      <c r="BG251" s="1"/>
      <c r="BK251" s="1">
        <f t="shared" si="92"/>
        <v>1260</v>
      </c>
      <c r="BL251" s="20">
        <f t="shared" si="92"/>
        <v>1.2809442793982526</v>
      </c>
      <c r="BM251" s="25">
        <f>VLOOKUP(BK251,'Hazard Weighting Functions'!$B$5:$G$1205,4,FALSE)</f>
        <v>0.02</v>
      </c>
      <c r="BN251" s="25">
        <f t="shared" si="102"/>
        <v>2.5618885587965053E-2</v>
      </c>
      <c r="BO251" s="25">
        <f t="shared" si="90"/>
        <v>0.13100916958238037</v>
      </c>
      <c r="BP251" s="20">
        <f t="shared" si="93"/>
        <v>1140</v>
      </c>
      <c r="BQ251" s="20">
        <f t="shared" si="93"/>
        <v>0</v>
      </c>
      <c r="BR251" s="25">
        <f>VLOOKUP(BP251,'Hazard Weighting Functions'!$B$5:$G$1205,4,FALSE)</f>
        <v>0.2</v>
      </c>
      <c r="BS251" s="25">
        <f t="shared" si="103"/>
        <v>0</v>
      </c>
      <c r="BT251" s="25">
        <f t="shared" si="104"/>
        <v>0</v>
      </c>
    </row>
    <row r="252" spans="2:72">
      <c r="B252" s="25">
        <v>1015</v>
      </c>
      <c r="C252" s="36">
        <v>0.27331039097614462</v>
      </c>
      <c r="E252" s="25">
        <v>1015</v>
      </c>
      <c r="F252" s="36"/>
      <c r="H252" s="25">
        <v>1015</v>
      </c>
      <c r="I252" s="36"/>
      <c r="K252" s="25">
        <v>2115</v>
      </c>
      <c r="L252" s="36"/>
      <c r="N252" s="25">
        <v>1265</v>
      </c>
      <c r="O252" s="36">
        <v>1.3392391122493545</v>
      </c>
      <c r="Q252" s="20">
        <v>1145</v>
      </c>
      <c r="R252" s="36">
        <v>0</v>
      </c>
      <c r="V252" s="25">
        <f t="shared" si="94"/>
        <v>1015</v>
      </c>
      <c r="W252" s="25">
        <f t="shared" si="94"/>
        <v>0.27331039097614462</v>
      </c>
      <c r="Y252" s="25">
        <f t="shared" si="95"/>
        <v>1015</v>
      </c>
      <c r="Z252" s="25">
        <f t="shared" si="95"/>
        <v>0.27331039097614462</v>
      </c>
      <c r="AK252" s="25">
        <f t="shared" si="91"/>
        <v>1.3681819635078682</v>
      </c>
      <c r="AM252" s="25">
        <f t="shared" si="105"/>
        <v>1.3681819635078682</v>
      </c>
      <c r="BF252" s="1"/>
      <c r="BG252" s="1"/>
      <c r="BK252" s="1">
        <f t="shared" si="92"/>
        <v>1265</v>
      </c>
      <c r="BL252" s="20">
        <f t="shared" si="92"/>
        <v>1.3392391122493545</v>
      </c>
      <c r="BM252" s="25">
        <f>VLOOKUP(BK252,'Hazard Weighting Functions'!$B$5:$G$1205,4,FALSE)</f>
        <v>0.02</v>
      </c>
      <c r="BN252" s="25">
        <f t="shared" si="102"/>
        <v>2.6784782244987093E-2</v>
      </c>
      <c r="BO252" s="25">
        <f t="shared" si="90"/>
        <v>0.13689615464155896</v>
      </c>
      <c r="BP252" s="20">
        <f t="shared" si="93"/>
        <v>1145</v>
      </c>
      <c r="BQ252" s="20">
        <f t="shared" si="93"/>
        <v>0</v>
      </c>
      <c r="BR252" s="25">
        <f>VLOOKUP(BP252,'Hazard Weighting Functions'!$B$5:$G$1205,4,FALSE)</f>
        <v>0.2</v>
      </c>
      <c r="BS252" s="25">
        <f t="shared" si="103"/>
        <v>0</v>
      </c>
      <c r="BT252" s="25">
        <f t="shared" si="104"/>
        <v>0</v>
      </c>
    </row>
    <row r="253" spans="2:72">
      <c r="B253" s="25">
        <v>1020</v>
      </c>
      <c r="C253" s="36">
        <v>0.27396239442700265</v>
      </c>
      <c r="E253" s="25">
        <v>1020</v>
      </c>
      <c r="F253" s="36"/>
      <c r="H253" s="25">
        <v>1020</v>
      </c>
      <c r="I253" s="36"/>
      <c r="K253" s="25">
        <v>2120</v>
      </c>
      <c r="L253" s="36"/>
      <c r="N253" s="25">
        <v>1270</v>
      </c>
      <c r="O253" s="36">
        <v>1.3986839805818245</v>
      </c>
      <c r="Q253" s="20">
        <v>1150</v>
      </c>
      <c r="R253" s="36">
        <v>0</v>
      </c>
      <c r="V253" s="25">
        <f t="shared" si="94"/>
        <v>1020</v>
      </c>
      <c r="W253" s="25">
        <f t="shared" si="94"/>
        <v>0.27396239442700265</v>
      </c>
      <c r="Y253" s="25">
        <f t="shared" si="95"/>
        <v>1020</v>
      </c>
      <c r="Z253" s="25">
        <f t="shared" si="95"/>
        <v>0.27396239442700265</v>
      </c>
      <c r="AK253" s="25">
        <f t="shared" si="91"/>
        <v>1.3659003646571044</v>
      </c>
      <c r="AM253" s="25">
        <f t="shared" si="105"/>
        <v>1.3659003646571044</v>
      </c>
      <c r="BF253" s="1"/>
      <c r="BG253" s="1"/>
      <c r="BK253" s="1">
        <f t="shared" si="92"/>
        <v>1270</v>
      </c>
      <c r="BL253" s="20">
        <f t="shared" si="92"/>
        <v>1.3986839805818245</v>
      </c>
      <c r="BM253" s="25">
        <f>VLOOKUP(BK253,'Hazard Weighting Functions'!$B$5:$G$1205,4,FALSE)</f>
        <v>0.02</v>
      </c>
      <c r="BN253" s="25">
        <f t="shared" si="102"/>
        <v>2.7973679611636493E-2</v>
      </c>
      <c r="BO253" s="25">
        <f t="shared" si="90"/>
        <v>0.14286013907264633</v>
      </c>
      <c r="BP253" s="20">
        <f t="shared" si="93"/>
        <v>1150</v>
      </c>
      <c r="BQ253" s="20">
        <f t="shared" si="93"/>
        <v>0</v>
      </c>
      <c r="BR253" s="25">
        <f>VLOOKUP(BP253,'Hazard Weighting Functions'!$B$5:$G$1205,4,FALSE)</f>
        <v>0.2</v>
      </c>
      <c r="BS253" s="25">
        <f t="shared" si="103"/>
        <v>0</v>
      </c>
      <c r="BT253" s="25">
        <f t="shared" si="104"/>
        <v>0</v>
      </c>
    </row>
    <row r="254" spans="2:72">
      <c r="B254" s="25">
        <v>1025</v>
      </c>
      <c r="C254" s="36">
        <v>0.27239775143583911</v>
      </c>
      <c r="E254" s="25">
        <v>1025</v>
      </c>
      <c r="F254" s="36"/>
      <c r="H254" s="25">
        <v>1025</v>
      </c>
      <c r="I254" s="36"/>
      <c r="K254" s="25">
        <v>2125</v>
      </c>
      <c r="L254" s="36"/>
      <c r="N254" s="25">
        <v>1275</v>
      </c>
      <c r="O254" s="36">
        <v>1.4585188008711021</v>
      </c>
      <c r="Q254" s="20">
        <v>1155</v>
      </c>
      <c r="R254" s="36">
        <v>0</v>
      </c>
      <c r="V254" s="25">
        <f t="shared" si="94"/>
        <v>1025</v>
      </c>
      <c r="W254" s="25">
        <f t="shared" si="94"/>
        <v>0.27239775143583911</v>
      </c>
      <c r="Y254" s="25">
        <f t="shared" si="95"/>
        <v>1025</v>
      </c>
      <c r="Z254" s="25">
        <f t="shared" si="95"/>
        <v>0.27239775143583911</v>
      </c>
      <c r="AK254" s="25">
        <f t="shared" si="91"/>
        <v>1.3555293391818424</v>
      </c>
      <c r="AM254" s="25">
        <f t="shared" si="105"/>
        <v>1.3555293391818424</v>
      </c>
      <c r="BF254" s="1"/>
      <c r="BG254" s="1"/>
      <c r="BK254" s="1">
        <f t="shared" si="92"/>
        <v>1275</v>
      </c>
      <c r="BL254" s="20">
        <f t="shared" si="92"/>
        <v>1.4585188008711021</v>
      </c>
      <c r="BM254" s="25">
        <f>VLOOKUP(BK254,'Hazard Weighting Functions'!$B$5:$G$1205,4,FALSE)</f>
        <v>0.02</v>
      </c>
      <c r="BN254" s="25">
        <f t="shared" si="102"/>
        <v>2.9170376017422041E-2</v>
      </c>
      <c r="BO254" s="25">
        <f t="shared" si="90"/>
        <v>0.14849230821168008</v>
      </c>
      <c r="BP254" s="20">
        <f t="shared" si="93"/>
        <v>1155</v>
      </c>
      <c r="BQ254" s="20">
        <f t="shared" si="93"/>
        <v>0</v>
      </c>
      <c r="BR254" s="25">
        <f>VLOOKUP(BP254,'Hazard Weighting Functions'!$B$5:$G$1205,4,FALSE)</f>
        <v>0.159</v>
      </c>
      <c r="BS254" s="25">
        <f t="shared" si="103"/>
        <v>0</v>
      </c>
      <c r="BT254" s="25">
        <f t="shared" si="104"/>
        <v>0</v>
      </c>
    </row>
    <row r="255" spans="2:72">
      <c r="B255" s="25">
        <v>1030</v>
      </c>
      <c r="C255" s="36">
        <v>0.2698139842368979</v>
      </c>
      <c r="E255" s="25">
        <v>1030</v>
      </c>
      <c r="F255" s="36"/>
      <c r="H255" s="25">
        <v>1030</v>
      </c>
      <c r="I255" s="36"/>
      <c r="K255" s="25">
        <v>2130</v>
      </c>
      <c r="L255" s="36"/>
      <c r="N255" s="25">
        <v>1280</v>
      </c>
      <c r="O255" s="36">
        <v>1.5113273633624991</v>
      </c>
      <c r="Q255" s="20">
        <v>1160</v>
      </c>
      <c r="R255" s="36">
        <v>0</v>
      </c>
      <c r="V255" s="25">
        <f t="shared" si="94"/>
        <v>1030</v>
      </c>
      <c r="W255" s="25">
        <f t="shared" si="94"/>
        <v>0.2698139842368979</v>
      </c>
      <c r="Y255" s="25">
        <f t="shared" si="95"/>
        <v>1030</v>
      </c>
      <c r="Z255" s="25">
        <f t="shared" si="95"/>
        <v>0.2698139842368979</v>
      </c>
      <c r="AK255" s="25">
        <f t="shared" si="91"/>
        <v>1.3442442602816067</v>
      </c>
      <c r="AM255" s="25">
        <f t="shared" si="105"/>
        <v>1.3442442602816067</v>
      </c>
      <c r="BF255" s="1"/>
      <c r="BG255" s="1"/>
      <c r="BK255" s="1">
        <f t="shared" si="92"/>
        <v>1280</v>
      </c>
      <c r="BL255" s="20">
        <f t="shared" si="92"/>
        <v>1.5113273633624991</v>
      </c>
      <c r="BM255" s="25">
        <f>VLOOKUP(BK255,'Hazard Weighting Functions'!$B$5:$G$1205,4,FALSE)</f>
        <v>0.02</v>
      </c>
      <c r="BN255" s="25">
        <f t="shared" si="102"/>
        <v>3.0226547267249982E-2</v>
      </c>
      <c r="BO255" s="25">
        <f t="shared" si="90"/>
        <v>0.15378767157165404</v>
      </c>
      <c r="BP255" s="20">
        <f t="shared" si="93"/>
        <v>1160</v>
      </c>
      <c r="BQ255" s="20">
        <f t="shared" si="93"/>
        <v>0</v>
      </c>
      <c r="BR255" s="25">
        <f>VLOOKUP(BP255,'Hazard Weighting Functions'!$B$5:$G$1205,4,FALSE)</f>
        <v>0.126</v>
      </c>
      <c r="BS255" s="25">
        <f t="shared" si="103"/>
        <v>0</v>
      </c>
      <c r="BT255" s="25">
        <f t="shared" si="104"/>
        <v>0</v>
      </c>
    </row>
    <row r="256" spans="2:72">
      <c r="B256" s="25">
        <v>1035</v>
      </c>
      <c r="C256" s="36">
        <v>0.26788371987574489</v>
      </c>
      <c r="E256" s="25">
        <v>1035</v>
      </c>
      <c r="F256" s="36"/>
      <c r="H256" s="25">
        <v>1035</v>
      </c>
      <c r="I256" s="36"/>
      <c r="K256" s="25">
        <v>2135</v>
      </c>
      <c r="L256" s="36"/>
      <c r="N256" s="25">
        <v>1285</v>
      </c>
      <c r="O256" s="36">
        <v>1.5644260680705817</v>
      </c>
      <c r="Q256" s="20">
        <v>1165</v>
      </c>
      <c r="R256" s="36">
        <v>0</v>
      </c>
      <c r="V256" s="25">
        <f t="shared" si="94"/>
        <v>1035</v>
      </c>
      <c r="W256" s="25">
        <f t="shared" si="94"/>
        <v>0.26788371987574489</v>
      </c>
      <c r="Y256" s="25">
        <f t="shared" si="95"/>
        <v>1035</v>
      </c>
      <c r="Z256" s="25">
        <f t="shared" si="95"/>
        <v>0.26788371987574489</v>
      </c>
      <c r="AK256" s="25">
        <f t="shared" si="91"/>
        <v>1.3327970707706962</v>
      </c>
      <c r="AM256" s="25">
        <f t="shared" si="105"/>
        <v>1.3327970707706962</v>
      </c>
      <c r="BF256" s="1"/>
      <c r="BG256" s="1"/>
      <c r="BK256" s="1">
        <f t="shared" si="92"/>
        <v>1285</v>
      </c>
      <c r="BL256" s="20">
        <f t="shared" si="92"/>
        <v>1.5644260680705817</v>
      </c>
      <c r="BM256" s="25">
        <f>VLOOKUP(BK256,'Hazard Weighting Functions'!$B$5:$G$1205,4,FALSE)</f>
        <v>0.02</v>
      </c>
      <c r="BN256" s="25">
        <f t="shared" si="102"/>
        <v>3.1288521361411636E-2</v>
      </c>
      <c r="BO256" s="25">
        <f t="shared" si="90"/>
        <v>0.15880513916496489</v>
      </c>
      <c r="BP256" s="20">
        <f t="shared" si="93"/>
        <v>1165</v>
      </c>
      <c r="BQ256" s="20">
        <f t="shared" si="93"/>
        <v>0</v>
      </c>
      <c r="BR256" s="25">
        <f>VLOOKUP(BP256,'Hazard Weighting Functions'!$B$5:$G$1205,4,FALSE)</f>
        <v>0.1</v>
      </c>
      <c r="BS256" s="25">
        <f t="shared" si="103"/>
        <v>0</v>
      </c>
      <c r="BT256" s="25">
        <f t="shared" si="104"/>
        <v>0</v>
      </c>
    </row>
    <row r="257" spans="2:72">
      <c r="B257" s="25">
        <v>1040</v>
      </c>
      <c r="C257" s="36">
        <v>0.26523510843253362</v>
      </c>
      <c r="E257" s="25">
        <v>1040</v>
      </c>
      <c r="F257" s="36"/>
      <c r="H257" s="25">
        <v>1040</v>
      </c>
      <c r="I257" s="36"/>
      <c r="K257" s="25">
        <v>2140</v>
      </c>
      <c r="L257" s="36"/>
      <c r="N257" s="25">
        <v>1290</v>
      </c>
      <c r="O257" s="36">
        <v>1.6116767152287159</v>
      </c>
      <c r="Q257" s="20">
        <v>1170</v>
      </c>
      <c r="R257" s="36">
        <v>0</v>
      </c>
      <c r="V257" s="25">
        <f t="shared" si="94"/>
        <v>1040</v>
      </c>
      <c r="W257" s="25">
        <f t="shared" si="94"/>
        <v>0.26523510843253362</v>
      </c>
      <c r="Y257" s="25">
        <f t="shared" si="95"/>
        <v>1040</v>
      </c>
      <c r="Z257" s="25">
        <f t="shared" si="95"/>
        <v>0.26523510843253362</v>
      </c>
      <c r="AK257" s="25">
        <f t="shared" si="91"/>
        <v>1.314501631904458</v>
      </c>
      <c r="AM257" s="25">
        <f t="shared" si="105"/>
        <v>1.314501631904458</v>
      </c>
      <c r="BF257" s="1"/>
      <c r="BG257" s="1"/>
      <c r="BK257" s="1">
        <f t="shared" si="92"/>
        <v>1290</v>
      </c>
      <c r="BL257" s="20">
        <f t="shared" si="92"/>
        <v>1.6116767152287159</v>
      </c>
      <c r="BM257" s="25">
        <f>VLOOKUP(BK257,'Hazard Weighting Functions'!$B$5:$G$1205,4,FALSE)</f>
        <v>0.02</v>
      </c>
      <c r="BN257" s="25">
        <f t="shared" si="102"/>
        <v>3.2233534304574318E-2</v>
      </c>
      <c r="BO257" s="25">
        <f t="shared" si="90"/>
        <v>0.16345634647108898</v>
      </c>
      <c r="BP257" s="20">
        <f t="shared" si="93"/>
        <v>1170</v>
      </c>
      <c r="BQ257" s="20">
        <f t="shared" si="93"/>
        <v>0</v>
      </c>
      <c r="BR257" s="25">
        <f>VLOOKUP(BP257,'Hazard Weighting Functions'!$B$5:$G$1205,4,FALSE)</f>
        <v>0.08</v>
      </c>
      <c r="BS257" s="25">
        <f t="shared" si="103"/>
        <v>0</v>
      </c>
      <c r="BT257" s="25">
        <f t="shared" si="104"/>
        <v>0</v>
      </c>
    </row>
    <row r="258" spans="2:72">
      <c r="B258" s="25">
        <v>1045</v>
      </c>
      <c r="C258" s="36">
        <v>0.26056554432924961</v>
      </c>
      <c r="E258" s="25">
        <v>1045</v>
      </c>
      <c r="F258" s="36"/>
      <c r="H258" s="25">
        <v>1045</v>
      </c>
      <c r="I258" s="36"/>
      <c r="K258" s="25">
        <v>2145</v>
      </c>
      <c r="L258" s="36"/>
      <c r="N258" s="25">
        <v>1295</v>
      </c>
      <c r="O258" s="36">
        <v>1.657450214193064</v>
      </c>
      <c r="Q258" s="20">
        <v>1175</v>
      </c>
      <c r="R258" s="36">
        <v>0</v>
      </c>
      <c r="V258" s="25">
        <f t="shared" si="94"/>
        <v>1045</v>
      </c>
      <c r="W258" s="25">
        <f t="shared" si="94"/>
        <v>0.26056554432924961</v>
      </c>
      <c r="Y258" s="25">
        <f t="shared" si="95"/>
        <v>1045</v>
      </c>
      <c r="Z258" s="25">
        <f t="shared" si="95"/>
        <v>0.26056554432924961</v>
      </c>
      <c r="AK258" s="25">
        <f t="shared" si="91"/>
        <v>1.2911485516246688</v>
      </c>
      <c r="AM258" s="25">
        <f t="shared" si="105"/>
        <v>1.2911485516246688</v>
      </c>
      <c r="BF258" s="1"/>
      <c r="BG258" s="1"/>
      <c r="BK258" s="1">
        <f t="shared" si="92"/>
        <v>1295</v>
      </c>
      <c r="BL258" s="20">
        <f t="shared" si="92"/>
        <v>1.657450214193064</v>
      </c>
      <c r="BM258" s="25">
        <f>VLOOKUP(BK258,'Hazard Weighting Functions'!$B$5:$G$1205,4,FALSE)</f>
        <v>0.02</v>
      </c>
      <c r="BN258" s="25">
        <f t="shared" si="102"/>
        <v>3.3149004283861284E-2</v>
      </c>
      <c r="BO258" s="25">
        <f t="shared" si="90"/>
        <v>0.1664034039987479</v>
      </c>
      <c r="BP258" s="20">
        <f t="shared" si="93"/>
        <v>1175</v>
      </c>
      <c r="BQ258" s="20">
        <f t="shared" si="93"/>
        <v>0</v>
      </c>
      <c r="BR258" s="25">
        <f>VLOOKUP(BP258,'Hazard Weighting Functions'!$B$5:$G$1205,4,FALSE)</f>
        <v>6.3E-2</v>
      </c>
      <c r="BS258" s="25">
        <f t="shared" si="103"/>
        <v>0</v>
      </c>
      <c r="BT258" s="25">
        <f t="shared" si="104"/>
        <v>0</v>
      </c>
    </row>
    <row r="259" spans="2:72">
      <c r="B259" s="25">
        <v>1050</v>
      </c>
      <c r="C259" s="36">
        <v>0.25589387632061789</v>
      </c>
      <c r="E259" s="25">
        <v>1050</v>
      </c>
      <c r="F259" s="36"/>
      <c r="H259" s="25">
        <v>1050</v>
      </c>
      <c r="I259" s="36"/>
      <c r="K259" s="25">
        <v>2150</v>
      </c>
      <c r="L259" s="36"/>
      <c r="N259" s="25">
        <v>1300</v>
      </c>
      <c r="O259" s="36">
        <v>1.6706178657818938</v>
      </c>
      <c r="Q259" s="20">
        <v>1180</v>
      </c>
      <c r="R259" s="36">
        <v>0</v>
      </c>
      <c r="V259" s="25">
        <f t="shared" si="94"/>
        <v>1050</v>
      </c>
      <c r="W259" s="25">
        <f t="shared" si="94"/>
        <v>0.25589387632061789</v>
      </c>
      <c r="Y259" s="25">
        <f t="shared" si="95"/>
        <v>1050</v>
      </c>
      <c r="Z259" s="25">
        <f t="shared" si="95"/>
        <v>0.25589387632061789</v>
      </c>
      <c r="AK259" s="25">
        <f t="shared" si="91"/>
        <v>1.2723369171974932</v>
      </c>
      <c r="AM259" s="25">
        <f t="shared" si="105"/>
        <v>1.2723369171974932</v>
      </c>
      <c r="BF259" s="1"/>
      <c r="BG259" s="1"/>
      <c r="BK259" s="1">
        <f t="shared" si="92"/>
        <v>1300</v>
      </c>
      <c r="BL259" s="20">
        <f t="shared" si="92"/>
        <v>1.6706178657818938</v>
      </c>
      <c r="BM259" s="25">
        <f>VLOOKUP(BK259,'Hazard Weighting Functions'!$B$5:$G$1205,4,FALSE)</f>
        <v>0.02</v>
      </c>
      <c r="BN259" s="25">
        <f t="shared" si="102"/>
        <v>3.3412357315637874E-2</v>
      </c>
      <c r="BO259" s="25">
        <f t="shared" si="90"/>
        <v>0.16848511682297118</v>
      </c>
      <c r="BP259" s="20">
        <f t="shared" si="93"/>
        <v>1180</v>
      </c>
      <c r="BQ259" s="20">
        <f t="shared" si="93"/>
        <v>0</v>
      </c>
      <c r="BR259" s="25">
        <f>VLOOKUP(BP259,'Hazard Weighting Functions'!$B$5:$G$1205,4,FALSE)</f>
        <v>0.05</v>
      </c>
      <c r="BS259" s="25">
        <f t="shared" si="103"/>
        <v>0</v>
      </c>
      <c r="BT259" s="25">
        <f t="shared" si="104"/>
        <v>0</v>
      </c>
    </row>
    <row r="260" spans="2:72">
      <c r="B260" s="25">
        <v>1055</v>
      </c>
      <c r="C260" s="36">
        <v>0.25304089055837942</v>
      </c>
      <c r="E260" s="25">
        <v>1055</v>
      </c>
      <c r="F260" s="36"/>
      <c r="H260" s="25">
        <v>1055</v>
      </c>
      <c r="I260" s="36"/>
      <c r="K260" s="25">
        <v>2155</v>
      </c>
      <c r="L260" s="36"/>
      <c r="N260" s="25">
        <v>1305</v>
      </c>
      <c r="O260" s="36">
        <v>1.6990844706775297</v>
      </c>
      <c r="Q260" s="20">
        <v>1185</v>
      </c>
      <c r="R260" s="36">
        <v>0</v>
      </c>
      <c r="V260" s="25">
        <f t="shared" si="94"/>
        <v>1055</v>
      </c>
      <c r="W260" s="25">
        <f t="shared" si="94"/>
        <v>0.25304089055837942</v>
      </c>
      <c r="Y260" s="25">
        <f t="shared" si="95"/>
        <v>1055</v>
      </c>
      <c r="Z260" s="25">
        <f t="shared" si="95"/>
        <v>0.25304089055837942</v>
      </c>
      <c r="AK260" s="25">
        <f t="shared" si="91"/>
        <v>1.2568863975199471</v>
      </c>
      <c r="AM260" s="25">
        <f t="shared" si="105"/>
        <v>1.2568863975199471</v>
      </c>
      <c r="BF260" s="1"/>
      <c r="BG260" s="1"/>
      <c r="BK260" s="1">
        <f t="shared" si="92"/>
        <v>1305</v>
      </c>
      <c r="BL260" s="20">
        <f t="shared" si="92"/>
        <v>1.6990844706775297</v>
      </c>
      <c r="BM260" s="25">
        <f>VLOOKUP(BK260,'Hazard Weighting Functions'!$B$5:$G$1205,4,FALSE)</f>
        <v>0.02</v>
      </c>
      <c r="BN260" s="25">
        <f t="shared" si="102"/>
        <v>3.3981689413550592E-2</v>
      </c>
      <c r="BO260" s="25">
        <f t="shared" si="90"/>
        <v>0.17123049589466213</v>
      </c>
      <c r="BP260" s="20">
        <f t="shared" si="93"/>
        <v>1185</v>
      </c>
      <c r="BQ260" s="20">
        <f t="shared" si="93"/>
        <v>0</v>
      </c>
      <c r="BR260" s="25">
        <f>VLOOKUP(BP260,'Hazard Weighting Functions'!$B$5:$G$1205,4,FALSE)</f>
        <v>0.04</v>
      </c>
      <c r="BS260" s="25">
        <f t="shared" si="103"/>
        <v>0</v>
      </c>
      <c r="BT260" s="25">
        <f t="shared" si="104"/>
        <v>0</v>
      </c>
    </row>
    <row r="261" spans="2:72">
      <c r="B261" s="25">
        <v>1060</v>
      </c>
      <c r="C261" s="36">
        <v>0.24971366844959939</v>
      </c>
      <c r="E261" s="25">
        <v>1060</v>
      </c>
      <c r="F261" s="36"/>
      <c r="H261" s="25">
        <v>1060</v>
      </c>
      <c r="I261" s="36"/>
      <c r="K261" s="25">
        <v>2160</v>
      </c>
      <c r="L261" s="36"/>
      <c r="N261" s="25">
        <v>1310</v>
      </c>
      <c r="O261" s="36">
        <v>1.7255254472157129</v>
      </c>
      <c r="Q261" s="20">
        <v>1190</v>
      </c>
      <c r="R261" s="36">
        <v>0</v>
      </c>
      <c r="V261" s="25">
        <f t="shared" si="94"/>
        <v>1060</v>
      </c>
      <c r="W261" s="25">
        <f t="shared" si="94"/>
        <v>0.24971366844959939</v>
      </c>
      <c r="Y261" s="25">
        <f t="shared" si="95"/>
        <v>1060</v>
      </c>
      <c r="Z261" s="25">
        <f t="shared" si="95"/>
        <v>0.24971366844959939</v>
      </c>
      <c r="AK261" s="25">
        <f t="shared" si="91"/>
        <v>1.2335651095271272</v>
      </c>
      <c r="AM261" s="25">
        <f t="shared" si="105"/>
        <v>1.2335651095271272</v>
      </c>
      <c r="BF261" s="1"/>
      <c r="BG261" s="1"/>
      <c r="BK261" s="1">
        <f t="shared" si="92"/>
        <v>1310</v>
      </c>
      <c r="BL261" s="20">
        <f t="shared" si="92"/>
        <v>1.7255254472157129</v>
      </c>
      <c r="BM261" s="25">
        <f>VLOOKUP(BK261,'Hazard Weighting Functions'!$B$5:$G$1205,4,FALSE)</f>
        <v>0.02</v>
      </c>
      <c r="BN261" s="25">
        <f t="shared" si="102"/>
        <v>3.4510508944314261E-2</v>
      </c>
      <c r="BO261" s="25">
        <f t="shared" ref="BO261:BO278" si="106">0.5*(BK262-BK261)*(BN261+BN262)</f>
        <v>0.17352334605755465</v>
      </c>
      <c r="BP261" s="20">
        <f t="shared" si="93"/>
        <v>1190</v>
      </c>
      <c r="BQ261" s="20">
        <f t="shared" si="93"/>
        <v>0</v>
      </c>
      <c r="BR261" s="25">
        <f>VLOOKUP(BP261,'Hazard Weighting Functions'!$B$5:$G$1205,4,FALSE)</f>
        <v>3.2000000000000001E-2</v>
      </c>
      <c r="BS261" s="25">
        <f t="shared" si="103"/>
        <v>0</v>
      </c>
      <c r="BT261" s="25">
        <f t="shared" si="104"/>
        <v>0</v>
      </c>
    </row>
    <row r="262" spans="2:72">
      <c r="B262" s="25">
        <v>1065</v>
      </c>
      <c r="C262" s="36">
        <v>0.24371237536125151</v>
      </c>
      <c r="E262" s="25">
        <v>1065</v>
      </c>
      <c r="F262" s="36"/>
      <c r="H262" s="25">
        <v>1065</v>
      </c>
      <c r="I262" s="36"/>
      <c r="K262" s="25">
        <v>2165</v>
      </c>
      <c r="L262" s="36"/>
      <c r="N262" s="25">
        <v>1315</v>
      </c>
      <c r="O262" s="36">
        <v>1.7449414739353795</v>
      </c>
      <c r="Q262" s="20">
        <v>1195</v>
      </c>
      <c r="R262" s="36">
        <v>0</v>
      </c>
      <c r="V262" s="25">
        <f t="shared" si="94"/>
        <v>1065</v>
      </c>
      <c r="W262" s="25">
        <f t="shared" si="94"/>
        <v>0.24371237536125151</v>
      </c>
      <c r="Y262" s="25">
        <f t="shared" si="95"/>
        <v>1065</v>
      </c>
      <c r="Z262" s="25">
        <f t="shared" si="95"/>
        <v>0.24371237536125151</v>
      </c>
      <c r="AK262" s="25">
        <f t="shared" si="91"/>
        <v>1.2025889815146786</v>
      </c>
      <c r="AM262" s="25">
        <f t="shared" si="105"/>
        <v>1.2025889815146786</v>
      </c>
      <c r="BF262" s="1"/>
      <c r="BG262" s="1"/>
      <c r="BK262" s="1">
        <f t="shared" si="92"/>
        <v>1315</v>
      </c>
      <c r="BL262" s="20">
        <f t="shared" si="92"/>
        <v>1.7449414739353795</v>
      </c>
      <c r="BM262" s="25">
        <f>VLOOKUP(BK262,'Hazard Weighting Functions'!$B$5:$G$1205,4,FALSE)</f>
        <v>0.02</v>
      </c>
      <c r="BN262" s="25">
        <f t="shared" si="102"/>
        <v>3.4898829478707587E-2</v>
      </c>
      <c r="BO262" s="25">
        <f t="shared" si="106"/>
        <v>0.17564560827336712</v>
      </c>
      <c r="BP262" s="20">
        <f t="shared" si="93"/>
        <v>1195</v>
      </c>
      <c r="BQ262" s="20">
        <f t="shared" si="93"/>
        <v>0</v>
      </c>
      <c r="BR262" s="25">
        <f>VLOOKUP(BP262,'Hazard Weighting Functions'!$B$5:$G$1205,4,FALSE)</f>
        <v>2.5000000000000001E-2</v>
      </c>
      <c r="BS262" s="25">
        <f t="shared" si="103"/>
        <v>0</v>
      </c>
      <c r="BT262" s="25">
        <f t="shared" si="104"/>
        <v>0</v>
      </c>
    </row>
    <row r="263" spans="2:72">
      <c r="B263" s="25">
        <v>1070</v>
      </c>
      <c r="C263" s="36">
        <v>0.23732321724461997</v>
      </c>
      <c r="E263" s="25">
        <v>1070</v>
      </c>
      <c r="F263" s="36"/>
      <c r="H263" s="25">
        <v>1070</v>
      </c>
      <c r="I263" s="36"/>
      <c r="K263" s="25">
        <v>2170</v>
      </c>
      <c r="L263" s="36"/>
      <c r="N263" s="25">
        <v>1320</v>
      </c>
      <c r="O263" s="36">
        <v>1.7679706915319628</v>
      </c>
      <c r="Q263" s="20">
        <v>1200</v>
      </c>
      <c r="R263" s="36">
        <v>0</v>
      </c>
      <c r="V263" s="25">
        <f t="shared" si="94"/>
        <v>1070</v>
      </c>
      <c r="W263" s="25">
        <f t="shared" si="94"/>
        <v>0.23732321724461997</v>
      </c>
      <c r="Y263" s="25">
        <f t="shared" si="95"/>
        <v>1070</v>
      </c>
      <c r="Z263" s="25">
        <f t="shared" si="95"/>
        <v>0.23732321724461997</v>
      </c>
      <c r="AK263" s="25">
        <f t="shared" si="91"/>
        <v>1.1761080712639109</v>
      </c>
      <c r="AM263" s="25">
        <f t="shared" si="105"/>
        <v>1.1761080712639109</v>
      </c>
      <c r="BF263" s="1"/>
      <c r="BG263" s="1"/>
      <c r="BK263" s="1">
        <f t="shared" si="92"/>
        <v>1320</v>
      </c>
      <c r="BL263" s="20">
        <f t="shared" si="92"/>
        <v>1.7679706915319628</v>
      </c>
      <c r="BM263" s="25">
        <f>VLOOKUP(BK263,'Hazard Weighting Functions'!$B$5:$G$1205,4,FALSE)</f>
        <v>0.02</v>
      </c>
      <c r="BN263" s="25">
        <f t="shared" si="102"/>
        <v>3.5359413830639258E-2</v>
      </c>
      <c r="BO263" s="25">
        <f t="shared" si="106"/>
        <v>0.17565468126950867</v>
      </c>
      <c r="BP263" s="20">
        <f t="shared" si="93"/>
        <v>1200</v>
      </c>
      <c r="BQ263" s="20">
        <f t="shared" si="93"/>
        <v>0</v>
      </c>
      <c r="BR263" s="25">
        <f>VLOOKUP(BP263,'Hazard Weighting Functions'!$B$5:$G$1205,4,FALSE)</f>
        <v>0.02</v>
      </c>
      <c r="BS263" s="25">
        <f t="shared" si="103"/>
        <v>0</v>
      </c>
      <c r="BT263" s="25">
        <f t="shared" si="104"/>
        <v>7.7438952095485675E-3</v>
      </c>
    </row>
    <row r="264" spans="2:72">
      <c r="B264" s="25">
        <v>1075</v>
      </c>
      <c r="C264" s="36">
        <v>0.23312001126094445</v>
      </c>
      <c r="E264" s="25">
        <v>1075</v>
      </c>
      <c r="F264" s="36"/>
      <c r="H264" s="25">
        <v>1075</v>
      </c>
      <c r="I264" s="36"/>
      <c r="K264" s="25">
        <v>2175</v>
      </c>
      <c r="L264" s="36"/>
      <c r="N264" s="25">
        <v>1325</v>
      </c>
      <c r="O264" s="36">
        <v>1.7451229338582106</v>
      </c>
      <c r="Q264" s="20">
        <v>1205</v>
      </c>
      <c r="R264" s="36">
        <v>0.15487790419097133</v>
      </c>
      <c r="V264" s="25">
        <f t="shared" si="94"/>
        <v>1075</v>
      </c>
      <c r="W264" s="25">
        <f t="shared" si="94"/>
        <v>0.23312001126094445</v>
      </c>
      <c r="Y264" s="25">
        <f t="shared" si="95"/>
        <v>1075</v>
      </c>
      <c r="Z264" s="25">
        <f t="shared" si="95"/>
        <v>0.23312001126094445</v>
      </c>
      <c r="AK264" s="25">
        <f t="shared" si="91"/>
        <v>1.1586524752198037</v>
      </c>
      <c r="AM264" s="25">
        <f t="shared" si="105"/>
        <v>1.1586524752198037</v>
      </c>
      <c r="BF264" s="1"/>
      <c r="BG264" s="1"/>
      <c r="BK264" s="1">
        <f t="shared" si="92"/>
        <v>1325</v>
      </c>
      <c r="BL264" s="20">
        <f t="shared" si="92"/>
        <v>1.7451229338582106</v>
      </c>
      <c r="BM264" s="25">
        <f>VLOOKUP(BK264,'Hazard Weighting Functions'!$B$5:$G$1205,4,FALSE)</f>
        <v>0.02</v>
      </c>
      <c r="BN264" s="25">
        <f t="shared" si="102"/>
        <v>3.4902458677164211E-2</v>
      </c>
      <c r="BO264" s="25">
        <f t="shared" si="106"/>
        <v>0.17234606827334589</v>
      </c>
      <c r="BP264" s="20">
        <f t="shared" si="93"/>
        <v>1205</v>
      </c>
      <c r="BQ264" s="20">
        <f t="shared" si="93"/>
        <v>0.15487790419097133</v>
      </c>
      <c r="BR264" s="25">
        <f>VLOOKUP(BP264,'Hazard Weighting Functions'!$B$5:$G$1205,4,FALSE)</f>
        <v>0.02</v>
      </c>
      <c r="BS264" s="25">
        <f t="shared" si="103"/>
        <v>3.0975580838194269E-3</v>
      </c>
      <c r="BT264" s="25">
        <f t="shared" si="104"/>
        <v>7.7438952095485675E-3</v>
      </c>
    </row>
    <row r="265" spans="2:72">
      <c r="B265" s="25">
        <v>1080</v>
      </c>
      <c r="C265" s="36">
        <v>0.23034097882697707</v>
      </c>
      <c r="E265" s="25">
        <v>1080</v>
      </c>
      <c r="F265" s="36"/>
      <c r="H265" s="25">
        <v>1080</v>
      </c>
      <c r="I265" s="36"/>
      <c r="K265" s="25">
        <v>2180</v>
      </c>
      <c r="L265" s="36"/>
      <c r="N265" s="25">
        <v>1330</v>
      </c>
      <c r="O265" s="36">
        <v>1.7017984316087071</v>
      </c>
      <c r="Q265" s="20">
        <v>1210</v>
      </c>
      <c r="R265" s="36">
        <v>0</v>
      </c>
      <c r="V265" s="25">
        <f t="shared" si="94"/>
        <v>1080</v>
      </c>
      <c r="W265" s="25">
        <f t="shared" si="94"/>
        <v>0.23034097882697707</v>
      </c>
      <c r="Y265" s="25">
        <f t="shared" si="95"/>
        <v>1080</v>
      </c>
      <c r="Z265" s="25">
        <f t="shared" si="95"/>
        <v>0.23034097882697707</v>
      </c>
      <c r="AK265" s="25">
        <f t="shared" si="91"/>
        <v>1.1420108229761161</v>
      </c>
      <c r="AM265" s="25">
        <f t="shared" si="105"/>
        <v>1.1420108229761161</v>
      </c>
      <c r="BF265" s="1"/>
      <c r="BG265" s="1"/>
      <c r="BK265" s="1">
        <f t="shared" si="92"/>
        <v>1330</v>
      </c>
      <c r="BL265" s="20">
        <f t="shared" si="92"/>
        <v>1.7017984316087071</v>
      </c>
      <c r="BM265" s="25">
        <f>VLOOKUP(BK265,'Hazard Weighting Functions'!$B$5:$G$1205,4,FALSE)</f>
        <v>0.02</v>
      </c>
      <c r="BN265" s="25">
        <f t="shared" si="102"/>
        <v>3.4035968632174146E-2</v>
      </c>
      <c r="BO265" s="25">
        <f t="shared" si="106"/>
        <v>0.16634290216723219</v>
      </c>
      <c r="BP265" s="20">
        <f t="shared" si="93"/>
        <v>1210</v>
      </c>
      <c r="BQ265" s="20">
        <f t="shared" si="93"/>
        <v>0</v>
      </c>
      <c r="BR265" s="25">
        <f>VLOOKUP(BP265,'Hazard Weighting Functions'!$B$5:$G$1205,4,FALSE)</f>
        <v>0.02</v>
      </c>
      <c r="BS265" s="25">
        <f t="shared" si="103"/>
        <v>0</v>
      </c>
      <c r="BT265" s="25">
        <f t="shared" si="104"/>
        <v>7.5596451760209342E-3</v>
      </c>
    </row>
    <row r="266" spans="2:72">
      <c r="B266" s="25">
        <v>1085</v>
      </c>
      <c r="C266" s="36">
        <v>0.2264633503634694</v>
      </c>
      <c r="E266" s="25">
        <v>1085</v>
      </c>
      <c r="F266" s="36"/>
      <c r="H266" s="25">
        <v>1085</v>
      </c>
      <c r="I266" s="36"/>
      <c r="K266" s="25">
        <v>2185</v>
      </c>
      <c r="L266" s="36"/>
      <c r="N266" s="25">
        <v>1335</v>
      </c>
      <c r="O266" s="36">
        <v>1.6250596117359368</v>
      </c>
      <c r="Q266" s="20">
        <v>1215</v>
      </c>
      <c r="R266" s="36">
        <v>0.15119290352041867</v>
      </c>
      <c r="V266" s="25">
        <f t="shared" si="94"/>
        <v>1085</v>
      </c>
      <c r="W266" s="25">
        <f t="shared" si="94"/>
        <v>0.2264633503634694</v>
      </c>
      <c r="Y266" s="25">
        <f t="shared" si="95"/>
        <v>1085</v>
      </c>
      <c r="Z266" s="25">
        <f t="shared" si="95"/>
        <v>0.2264633503634694</v>
      </c>
      <c r="AK266" s="25">
        <f t="shared" si="91"/>
        <v>1.1042983460378195</v>
      </c>
      <c r="AM266" s="25">
        <f t="shared" si="105"/>
        <v>1.1042983460378195</v>
      </c>
      <c r="BF266" s="1"/>
      <c r="BG266" s="1"/>
      <c r="BK266" s="1">
        <f t="shared" si="92"/>
        <v>1335</v>
      </c>
      <c r="BL266" s="20">
        <f t="shared" si="92"/>
        <v>1.6250596117359368</v>
      </c>
      <c r="BM266" s="25">
        <f>VLOOKUP(BK266,'Hazard Weighting Functions'!$B$5:$G$1205,4,FALSE)</f>
        <v>0.02</v>
      </c>
      <c r="BN266" s="25">
        <f t="shared" si="102"/>
        <v>3.2501192234718736E-2</v>
      </c>
      <c r="BO266" s="25">
        <f t="shared" si="106"/>
        <v>0.15492113104029059</v>
      </c>
      <c r="BP266" s="20">
        <f t="shared" si="93"/>
        <v>1215</v>
      </c>
      <c r="BQ266" s="20">
        <f t="shared" si="93"/>
        <v>0.15119290352041867</v>
      </c>
      <c r="BR266" s="25">
        <f>VLOOKUP(BP266,'Hazard Weighting Functions'!$B$5:$G$1205,4,FALSE)</f>
        <v>0.02</v>
      </c>
      <c r="BS266" s="25">
        <f t="shared" si="103"/>
        <v>3.0238580704083735E-3</v>
      </c>
      <c r="BT266" s="25">
        <f t="shared" si="104"/>
        <v>1.7850436959631712E-2</v>
      </c>
    </row>
    <row r="267" spans="2:72">
      <c r="B267" s="25">
        <v>1090</v>
      </c>
      <c r="C267" s="36">
        <v>0.21525598805165835</v>
      </c>
      <c r="E267" s="25">
        <v>1090</v>
      </c>
      <c r="F267" s="36"/>
      <c r="H267" s="25">
        <v>1090</v>
      </c>
      <c r="I267" s="36"/>
      <c r="K267" s="25">
        <v>2190</v>
      </c>
      <c r="L267" s="36"/>
      <c r="N267" s="25">
        <v>1340</v>
      </c>
      <c r="O267" s="36">
        <v>1.4733630090698751</v>
      </c>
      <c r="Q267" s="20">
        <v>1220</v>
      </c>
      <c r="R267" s="36">
        <v>0.20581583567221556</v>
      </c>
      <c r="V267" s="25">
        <f t="shared" si="94"/>
        <v>1090</v>
      </c>
      <c r="W267" s="25">
        <f t="shared" si="94"/>
        <v>0.21525598805165835</v>
      </c>
      <c r="Y267" s="25">
        <f t="shared" si="95"/>
        <v>1090</v>
      </c>
      <c r="Z267" s="25">
        <f t="shared" si="95"/>
        <v>0.21525598805165835</v>
      </c>
      <c r="AK267" s="25">
        <f t="shared" si="91"/>
        <v>1.0195517096088391</v>
      </c>
      <c r="AM267" s="25">
        <f t="shared" si="105"/>
        <v>1.0195517096088391</v>
      </c>
      <c r="BF267" s="1"/>
      <c r="BG267" s="1"/>
      <c r="BK267" s="1">
        <f t="shared" si="92"/>
        <v>1340</v>
      </c>
      <c r="BL267" s="20">
        <f t="shared" si="92"/>
        <v>1.4733630090698751</v>
      </c>
      <c r="BM267" s="25">
        <f>VLOOKUP(BK267,'Hazard Weighting Functions'!$B$5:$G$1205,4,FALSE)</f>
        <v>0.02</v>
      </c>
      <c r="BN267" s="25">
        <f t="shared" si="102"/>
        <v>2.9467260181397503E-2</v>
      </c>
      <c r="BO267" s="25">
        <f t="shared" si="106"/>
        <v>0.13917339198051862</v>
      </c>
      <c r="BP267" s="20">
        <f t="shared" si="93"/>
        <v>1220</v>
      </c>
      <c r="BQ267" s="20">
        <f t="shared" si="93"/>
        <v>0.20581583567221556</v>
      </c>
      <c r="BR267" s="25">
        <f>VLOOKUP(BP267,'Hazard Weighting Functions'!$B$5:$G$1205,4,FALSE)</f>
        <v>0.02</v>
      </c>
      <c r="BS267" s="25">
        <f t="shared" si="103"/>
        <v>4.1163167134443115E-3</v>
      </c>
      <c r="BT267" s="25">
        <f t="shared" si="104"/>
        <v>2.8985084204881769E-2</v>
      </c>
    </row>
    <row r="268" spans="2:72">
      <c r="B268" s="25">
        <v>1095</v>
      </c>
      <c r="C268" s="36">
        <v>0.19256469579187727</v>
      </c>
      <c r="E268" s="25">
        <v>1095</v>
      </c>
      <c r="F268" s="36"/>
      <c r="H268" s="25">
        <v>1095</v>
      </c>
      <c r="I268" s="36"/>
      <c r="K268" s="25">
        <v>2195</v>
      </c>
      <c r="L268" s="36"/>
      <c r="N268" s="25">
        <v>1345</v>
      </c>
      <c r="O268" s="36">
        <v>1.3101048305404972</v>
      </c>
      <c r="Q268" s="20">
        <v>1225</v>
      </c>
      <c r="R268" s="36">
        <v>0.37388584842541983</v>
      </c>
      <c r="V268" s="25">
        <f t="shared" si="94"/>
        <v>1095</v>
      </c>
      <c r="W268" s="25">
        <f t="shared" si="94"/>
        <v>0.19256469579187727</v>
      </c>
      <c r="Y268" s="25">
        <f t="shared" si="95"/>
        <v>1095</v>
      </c>
      <c r="Z268" s="25">
        <f t="shared" si="95"/>
        <v>0.19256469579187727</v>
      </c>
      <c r="AK268" s="25">
        <f t="shared" si="91"/>
        <v>0.89704027098059291</v>
      </c>
      <c r="AM268" s="25">
        <f t="shared" si="105"/>
        <v>0.89704027098059291</v>
      </c>
      <c r="BF268" s="1"/>
      <c r="BG268" s="1"/>
      <c r="BK268" s="1">
        <f t="shared" si="92"/>
        <v>1345</v>
      </c>
      <c r="BL268" s="20">
        <f t="shared" si="92"/>
        <v>1.3101048305404972</v>
      </c>
      <c r="BM268" s="25">
        <f>VLOOKUP(BK268,'Hazard Weighting Functions'!$B$5:$G$1205,4,FALSE)</f>
        <v>0.02</v>
      </c>
      <c r="BN268" s="25">
        <f t="shared" si="102"/>
        <v>2.6202096610809945E-2</v>
      </c>
      <c r="BO268" s="25">
        <f t="shared" si="106"/>
        <v>0.12713125054857941</v>
      </c>
      <c r="BP268" s="20">
        <f t="shared" si="93"/>
        <v>1225</v>
      </c>
      <c r="BQ268" s="20">
        <f t="shared" si="93"/>
        <v>0.37388584842541983</v>
      </c>
      <c r="BR268" s="25">
        <f>VLOOKUP(BP268,'Hazard Weighting Functions'!$B$5:$G$1205,4,FALSE)</f>
        <v>0.02</v>
      </c>
      <c r="BS268" s="25">
        <f t="shared" si="103"/>
        <v>7.4777169685083964E-3</v>
      </c>
      <c r="BT268" s="25">
        <f t="shared" si="104"/>
        <v>3.1393810311541419E-2</v>
      </c>
    </row>
    <row r="269" spans="2:72">
      <c r="B269" s="25">
        <v>1100</v>
      </c>
      <c r="C269" s="36">
        <v>0.16625141260035989</v>
      </c>
      <c r="E269" s="25">
        <v>1100</v>
      </c>
      <c r="F269" s="36"/>
      <c r="H269" s="25">
        <v>1100</v>
      </c>
      <c r="I269" s="36"/>
      <c r="K269" s="25">
        <v>2200</v>
      </c>
      <c r="L269" s="36"/>
      <c r="N269" s="25">
        <v>1350</v>
      </c>
      <c r="O269" s="36">
        <v>1.2325201804310908</v>
      </c>
      <c r="Q269" s="20">
        <v>1230</v>
      </c>
      <c r="R269" s="36">
        <v>0.25399035780540857</v>
      </c>
      <c r="V269" s="25">
        <f t="shared" si="94"/>
        <v>1100</v>
      </c>
      <c r="W269" s="25">
        <f t="shared" si="94"/>
        <v>0.16625141260035989</v>
      </c>
      <c r="Y269" s="25">
        <f t="shared" si="95"/>
        <v>1100</v>
      </c>
      <c r="Z269" s="25">
        <f t="shared" si="95"/>
        <v>0.16625141260035989</v>
      </c>
      <c r="AK269" s="25">
        <f t="shared" ref="AK269:AK332" si="107">0.5*(V270-V269)*(W269+W270)</f>
        <v>0.41562853150089973</v>
      </c>
      <c r="AM269" s="25">
        <f t="shared" si="105"/>
        <v>0.41562853150089973</v>
      </c>
      <c r="BF269" s="1"/>
      <c r="BG269" s="1"/>
      <c r="BK269" s="1">
        <f t="shared" si="92"/>
        <v>1350</v>
      </c>
      <c r="BL269" s="20">
        <f t="shared" si="92"/>
        <v>1.2325201804310908</v>
      </c>
      <c r="BM269" s="25">
        <f>VLOOKUP(BK269,'Hazard Weighting Functions'!$B$5:$G$1205,4,FALSE)</f>
        <v>0.02</v>
      </c>
      <c r="BN269" s="25">
        <f t="shared" si="102"/>
        <v>2.4650403608621817E-2</v>
      </c>
      <c r="BO269" s="25">
        <f t="shared" si="106"/>
        <v>0.12159894565157811</v>
      </c>
      <c r="BP269" s="20">
        <f t="shared" si="93"/>
        <v>1230</v>
      </c>
      <c r="BQ269" s="20">
        <f t="shared" si="93"/>
        <v>0.25399035780540857</v>
      </c>
      <c r="BR269" s="25">
        <f>VLOOKUP(BP269,'Hazard Weighting Functions'!$B$5:$G$1205,4,FALSE)</f>
        <v>0.02</v>
      </c>
      <c r="BS269" s="25">
        <f t="shared" si="103"/>
        <v>5.0798071561081719E-3</v>
      </c>
      <c r="BT269" s="25">
        <f t="shared" si="104"/>
        <v>1.2699517890270431E-2</v>
      </c>
    </row>
    <row r="270" spans="2:72">
      <c r="K270" s="25">
        <v>2205</v>
      </c>
      <c r="L270" s="36"/>
      <c r="N270" s="25">
        <v>1355</v>
      </c>
      <c r="O270" s="36">
        <v>1.1994587326004713</v>
      </c>
      <c r="Q270" s="20">
        <v>1235</v>
      </c>
      <c r="R270" s="36">
        <v>0</v>
      </c>
      <c r="V270" s="25">
        <f>K50</f>
        <v>1105</v>
      </c>
      <c r="W270" s="25">
        <f>IF(L49=0,0,L49/$T$51)</f>
        <v>0</v>
      </c>
      <c r="Y270" s="25">
        <f t="shared" ref="Y270:Z333" si="108">V270</f>
        <v>1105</v>
      </c>
      <c r="Z270" s="25">
        <f t="shared" si="108"/>
        <v>0</v>
      </c>
      <c r="AK270" s="25">
        <f t="shared" si="107"/>
        <v>0</v>
      </c>
      <c r="AM270" s="25">
        <f t="shared" si="105"/>
        <v>0</v>
      </c>
      <c r="BF270" s="1"/>
      <c r="BG270" s="1"/>
      <c r="BK270" s="1">
        <f t="shared" si="92"/>
        <v>1355</v>
      </c>
      <c r="BL270" s="20">
        <f t="shared" si="92"/>
        <v>1.1994587326004713</v>
      </c>
      <c r="BM270" s="25">
        <f>VLOOKUP(BK270,'Hazard Weighting Functions'!$B$5:$G$1205,4,FALSE)</f>
        <v>0.02</v>
      </c>
      <c r="BN270" s="25">
        <f t="shared" si="102"/>
        <v>2.3989174652009428E-2</v>
      </c>
      <c r="BO270" s="25">
        <f t="shared" si="106"/>
        <v>0.11819398395474154</v>
      </c>
      <c r="BP270" s="20">
        <f t="shared" si="93"/>
        <v>1235</v>
      </c>
      <c r="BQ270" s="20">
        <f t="shared" si="93"/>
        <v>0</v>
      </c>
      <c r="BR270" s="25">
        <f>VLOOKUP(BP270,'Hazard Weighting Functions'!$B$5:$G$1205,4,FALSE)</f>
        <v>0.02</v>
      </c>
      <c r="BS270" s="25">
        <f t="shared" si="103"/>
        <v>0</v>
      </c>
      <c r="BT270" s="25">
        <f t="shared" si="104"/>
        <v>1.3831532479741424E-2</v>
      </c>
    </row>
    <row r="271" spans="2:72">
      <c r="K271" s="25">
        <v>2210</v>
      </c>
      <c r="L271" s="36"/>
      <c r="N271" s="25">
        <v>1360</v>
      </c>
      <c r="O271" s="36">
        <v>1.1644209464943593</v>
      </c>
      <c r="Q271" s="20">
        <v>1240</v>
      </c>
      <c r="R271" s="36">
        <v>0.27663064959482847</v>
      </c>
      <c r="V271" s="25">
        <f>K51</f>
        <v>1110</v>
      </c>
      <c r="W271" s="26">
        <f t="shared" ref="W271:W334" si="109">IF(L50=0,0,L50/$T$51)</f>
        <v>0</v>
      </c>
      <c r="Y271" s="25">
        <f t="shared" si="108"/>
        <v>1110</v>
      </c>
      <c r="Z271" s="25">
        <f t="shared" si="108"/>
        <v>0</v>
      </c>
      <c r="AK271" s="25">
        <f t="shared" si="107"/>
        <v>0</v>
      </c>
      <c r="AM271" s="25">
        <f t="shared" si="105"/>
        <v>0</v>
      </c>
      <c r="BF271" s="1"/>
      <c r="BG271" s="1"/>
      <c r="BK271" s="1">
        <f t="shared" si="92"/>
        <v>1360</v>
      </c>
      <c r="BL271" s="20">
        <f t="shared" si="92"/>
        <v>1.1644209464943593</v>
      </c>
      <c r="BM271" s="25">
        <f>VLOOKUP(BK271,'Hazard Weighting Functions'!$B$5:$G$1205,4,FALSE)</f>
        <v>0.02</v>
      </c>
      <c r="BN271" s="25">
        <f t="shared" si="102"/>
        <v>2.3288418929887186E-2</v>
      </c>
      <c r="BO271" s="25">
        <f t="shared" si="106"/>
        <v>0.11249578939247395</v>
      </c>
      <c r="BP271" s="20">
        <f t="shared" si="93"/>
        <v>1240</v>
      </c>
      <c r="BQ271" s="20">
        <f t="shared" si="93"/>
        <v>0.27663064959482847</v>
      </c>
      <c r="BR271" s="25">
        <f>VLOOKUP(BP271,'Hazard Weighting Functions'!$B$5:$G$1205,4,FALSE)</f>
        <v>0.02</v>
      </c>
      <c r="BS271" s="25">
        <f t="shared" si="103"/>
        <v>5.5326129918965693E-3</v>
      </c>
      <c r="BT271" s="25">
        <f t="shared" si="104"/>
        <v>4.1199131286974208E-2</v>
      </c>
    </row>
    <row r="272" spans="2:72">
      <c r="K272" s="25">
        <v>2215</v>
      </c>
      <c r="L272" s="36"/>
      <c r="N272" s="25">
        <v>1365</v>
      </c>
      <c r="O272" s="36">
        <v>1.0854948413551198</v>
      </c>
      <c r="Q272" s="20">
        <v>1245</v>
      </c>
      <c r="R272" s="36">
        <v>0.54735197614465569</v>
      </c>
      <c r="V272" s="25">
        <f>K52</f>
        <v>1115</v>
      </c>
      <c r="W272" s="26">
        <f t="shared" si="109"/>
        <v>0</v>
      </c>
      <c r="Y272" s="25">
        <f t="shared" si="108"/>
        <v>1115</v>
      </c>
      <c r="Z272" s="25">
        <f t="shared" si="108"/>
        <v>0</v>
      </c>
      <c r="AK272" s="25">
        <f t="shared" si="107"/>
        <v>0</v>
      </c>
      <c r="AM272" s="25">
        <f t="shared" si="105"/>
        <v>0</v>
      </c>
      <c r="BF272" s="1"/>
      <c r="BG272" s="1"/>
      <c r="BK272" s="1">
        <f t="shared" si="92"/>
        <v>1365</v>
      </c>
      <c r="BL272" s="20">
        <f t="shared" si="92"/>
        <v>1.0854948413551198</v>
      </c>
      <c r="BM272" s="25">
        <f>VLOOKUP(BK272,'Hazard Weighting Functions'!$B$5:$G$1205,4,FALSE)</f>
        <v>0.02</v>
      </c>
      <c r="BN272" s="25">
        <f t="shared" si="102"/>
        <v>2.1709896827102396E-2</v>
      </c>
      <c r="BO272" s="25">
        <f t="shared" si="106"/>
        <v>0.10475821691587697</v>
      </c>
      <c r="BP272" s="20">
        <f t="shared" si="93"/>
        <v>1245</v>
      </c>
      <c r="BQ272" s="20">
        <f t="shared" si="93"/>
        <v>0.54735197614465569</v>
      </c>
      <c r="BR272" s="25">
        <f>VLOOKUP(BP272,'Hazard Weighting Functions'!$B$5:$G$1205,4,FALSE)</f>
        <v>0.02</v>
      </c>
      <c r="BS272" s="25">
        <f t="shared" si="103"/>
        <v>1.0947039522893115E-2</v>
      </c>
      <c r="BT272" s="25">
        <f t="shared" si="104"/>
        <v>5.6996835825738904E-2</v>
      </c>
    </row>
    <row r="273" spans="11:72">
      <c r="K273" s="25">
        <v>2220</v>
      </c>
      <c r="L273" s="36"/>
      <c r="N273" s="25">
        <v>1370</v>
      </c>
      <c r="O273" s="36">
        <v>1.0096694969624196</v>
      </c>
      <c r="Q273" s="20">
        <v>1250</v>
      </c>
      <c r="R273" s="36">
        <v>0.59258474037012243</v>
      </c>
      <c r="V273" s="25">
        <f>K53</f>
        <v>1120</v>
      </c>
      <c r="W273" s="26">
        <f t="shared" si="109"/>
        <v>0</v>
      </c>
      <c r="Y273" s="25">
        <f t="shared" si="108"/>
        <v>1120</v>
      </c>
      <c r="Z273" s="25">
        <f t="shared" si="108"/>
        <v>0</v>
      </c>
      <c r="AK273" s="25">
        <f t="shared" si="107"/>
        <v>0</v>
      </c>
      <c r="AM273" s="25">
        <f t="shared" si="105"/>
        <v>0</v>
      </c>
      <c r="BK273" s="1">
        <f t="shared" si="92"/>
        <v>1370</v>
      </c>
      <c r="BL273" s="20">
        <f t="shared" si="92"/>
        <v>1.0096694969624196</v>
      </c>
      <c r="BM273" s="25">
        <f>VLOOKUP(BK273,'Hazard Weighting Functions'!$B$5:$G$1205,4,FALSE)</f>
        <v>0.02</v>
      </c>
      <c r="BN273" s="25">
        <f t="shared" si="102"/>
        <v>2.0193389939248393E-2</v>
      </c>
      <c r="BO273" s="25">
        <f t="shared" si="106"/>
        <v>9.7745307764035866E-2</v>
      </c>
      <c r="BP273" s="20">
        <f t="shared" si="93"/>
        <v>1250</v>
      </c>
      <c r="BQ273" s="20">
        <f t="shared" si="93"/>
        <v>0.59258474037012243</v>
      </c>
      <c r="BR273" s="25">
        <f>VLOOKUP(BP273,'Hazard Weighting Functions'!$B$5:$G$1205,4,FALSE)</f>
        <v>0.02</v>
      </c>
      <c r="BS273" s="25">
        <f t="shared" si="103"/>
        <v>1.1851694807402448E-2</v>
      </c>
      <c r="BT273" s="25">
        <f t="shared" si="104"/>
        <v>5.8468044899517971E-2</v>
      </c>
    </row>
    <row r="274" spans="11:72">
      <c r="K274" s="25">
        <v>2225</v>
      </c>
      <c r="L274" s="36"/>
      <c r="N274" s="25">
        <v>1375</v>
      </c>
      <c r="O274" s="36">
        <v>0.94523665831829762</v>
      </c>
      <c r="Q274" s="20">
        <v>1255</v>
      </c>
      <c r="R274" s="36">
        <v>0.57677615762023704</v>
      </c>
      <c r="V274" s="25">
        <f>K54</f>
        <v>1125</v>
      </c>
      <c r="W274" s="26">
        <f t="shared" si="109"/>
        <v>0</v>
      </c>
      <c r="Y274" s="25">
        <f t="shared" si="108"/>
        <v>1125</v>
      </c>
      <c r="Z274" s="25">
        <f t="shared" si="108"/>
        <v>0</v>
      </c>
      <c r="AK274" s="25">
        <f t="shared" si="107"/>
        <v>0</v>
      </c>
      <c r="AM274" s="25">
        <f t="shared" si="105"/>
        <v>0</v>
      </c>
      <c r="BK274" s="1">
        <f t="shared" si="92"/>
        <v>1375</v>
      </c>
      <c r="BL274" s="20">
        <f t="shared" si="92"/>
        <v>0.94523665831829762</v>
      </c>
      <c r="BM274" s="25">
        <f>VLOOKUP(BK274,'Hazard Weighting Functions'!$B$5:$G$1205,4,FALSE)</f>
        <v>0.02</v>
      </c>
      <c r="BN274" s="25">
        <f t="shared" si="102"/>
        <v>1.8904733166365952E-2</v>
      </c>
      <c r="BO274" s="25">
        <f t="shared" si="106"/>
        <v>9.4364509939532312E-2</v>
      </c>
      <c r="BP274" s="20">
        <f>Q274</f>
        <v>1255</v>
      </c>
      <c r="BQ274" s="20">
        <f t="shared" ref="BQ274:BQ303" si="110">R274</f>
        <v>0.57677615762023704</v>
      </c>
      <c r="BR274" s="25">
        <f>VLOOKUP(BP274,'Hazard Weighting Functions'!$B$5:$G$1205,4,FALSE)</f>
        <v>0.02</v>
      </c>
      <c r="BS274" s="25">
        <f t="shared" si="103"/>
        <v>1.1535523152404741E-2</v>
      </c>
      <c r="BT274" s="25">
        <f t="shared" si="104"/>
        <v>6.083300463214536E-2</v>
      </c>
    </row>
    <row r="275" spans="11:72">
      <c r="K275" s="25">
        <v>2230</v>
      </c>
      <c r="L275" s="36"/>
      <c r="N275" s="25">
        <v>1380</v>
      </c>
      <c r="O275" s="36">
        <v>0.94205354047234879</v>
      </c>
      <c r="Q275" s="20">
        <v>1260</v>
      </c>
      <c r="R275" s="36">
        <v>0.63988393502267016</v>
      </c>
      <c r="V275" s="25">
        <f>K55</f>
        <v>1130</v>
      </c>
      <c r="W275" s="26">
        <f t="shared" si="109"/>
        <v>0</v>
      </c>
      <c r="Y275" s="25">
        <f t="shared" si="108"/>
        <v>1130</v>
      </c>
      <c r="Z275" s="25">
        <f t="shared" si="108"/>
        <v>0</v>
      </c>
      <c r="AK275" s="25">
        <f t="shared" si="107"/>
        <v>0</v>
      </c>
      <c r="AM275" s="25">
        <f t="shared" si="105"/>
        <v>0</v>
      </c>
      <c r="BK275" s="1">
        <f t="shared" si="92"/>
        <v>1380</v>
      </c>
      <c r="BL275" s="20">
        <f t="shared" si="92"/>
        <v>0.94205354047234879</v>
      </c>
      <c r="BM275" s="25">
        <f>VLOOKUP(BK275,'Hazard Weighting Functions'!$B$5:$G$1205,4,FALSE)</f>
        <v>0.02</v>
      </c>
      <c r="BN275" s="25">
        <f t="shared" si="102"/>
        <v>1.8841070809446976E-2</v>
      </c>
      <c r="BO275" s="25">
        <f t="shared" si="106"/>
        <v>9.3633452656085442E-2</v>
      </c>
      <c r="BP275" s="20">
        <f t="shared" ref="BP275:BP287" si="111">Q275</f>
        <v>1260</v>
      </c>
      <c r="BQ275" s="20">
        <f t="shared" si="110"/>
        <v>0.63988393502267016</v>
      </c>
      <c r="BR275" s="25">
        <f>VLOOKUP(BP275,'Hazard Weighting Functions'!$B$5:$G$1205,4,FALSE)</f>
        <v>0.02</v>
      </c>
      <c r="BS275" s="25">
        <f t="shared" si="103"/>
        <v>1.2797678700453403E-2</v>
      </c>
      <c r="BT275" s="25">
        <f t="shared" si="104"/>
        <v>6.8967364684591026E-2</v>
      </c>
    </row>
    <row r="276" spans="11:72">
      <c r="K276" s="25">
        <v>2235</v>
      </c>
      <c r="L276" s="36"/>
      <c r="N276" s="25">
        <v>1385</v>
      </c>
      <c r="O276" s="36">
        <v>0.93061551264936015</v>
      </c>
      <c r="Q276" s="20">
        <v>1265</v>
      </c>
      <c r="R276" s="36">
        <v>0.73946335866915025</v>
      </c>
      <c r="V276" s="25">
        <f>K56</f>
        <v>1135</v>
      </c>
      <c r="W276" s="26">
        <f t="shared" si="109"/>
        <v>0</v>
      </c>
      <c r="Y276" s="25">
        <f t="shared" si="108"/>
        <v>1135</v>
      </c>
      <c r="Z276" s="25">
        <f t="shared" si="108"/>
        <v>0</v>
      </c>
      <c r="AK276" s="25">
        <f t="shared" si="107"/>
        <v>0</v>
      </c>
      <c r="AM276" s="25">
        <f t="shared" si="105"/>
        <v>0</v>
      </c>
      <c r="BK276" s="1">
        <f t="shared" si="92"/>
        <v>1385</v>
      </c>
      <c r="BL276" s="20">
        <f t="shared" si="92"/>
        <v>0.93061551264936015</v>
      </c>
      <c r="BM276" s="25">
        <f>VLOOKUP(BK276,'Hazard Weighting Functions'!$B$5:$G$1205,4,FALSE)</f>
        <v>0.02</v>
      </c>
      <c r="BN276" s="25">
        <f t="shared" si="102"/>
        <v>1.8612310252987204E-2</v>
      </c>
      <c r="BO276" s="25">
        <f t="shared" si="106"/>
        <v>9.1430592423474552E-2</v>
      </c>
      <c r="BP276" s="20">
        <f t="shared" si="111"/>
        <v>1265</v>
      </c>
      <c r="BQ276" s="20">
        <f t="shared" si="110"/>
        <v>0.73946335866915025</v>
      </c>
      <c r="BR276" s="25">
        <f>VLOOKUP(BP276,'Hazard Weighting Functions'!$B$5:$G$1205,4,FALSE)</f>
        <v>0.02</v>
      </c>
      <c r="BS276" s="25">
        <f t="shared" si="103"/>
        <v>1.4789267173383006E-2</v>
      </c>
      <c r="BT276" s="25">
        <f t="shared" si="104"/>
        <v>8.820688405346748E-2</v>
      </c>
    </row>
    <row r="277" spans="11:72">
      <c r="K277" s="25">
        <v>2240</v>
      </c>
      <c r="L277" s="36"/>
      <c r="N277" s="25">
        <v>1390</v>
      </c>
      <c r="O277" s="36">
        <v>0.89799633582013083</v>
      </c>
      <c r="Q277" s="20">
        <v>1270</v>
      </c>
      <c r="R277" s="36">
        <v>1.0246743224001993</v>
      </c>
      <c r="V277" s="25">
        <f>K57</f>
        <v>1140</v>
      </c>
      <c r="W277" s="26">
        <f t="shared" si="109"/>
        <v>0</v>
      </c>
      <c r="Y277" s="25">
        <f t="shared" si="108"/>
        <v>1140</v>
      </c>
      <c r="Z277" s="25">
        <f t="shared" si="108"/>
        <v>0</v>
      </c>
      <c r="AK277" s="25">
        <f t="shared" si="107"/>
        <v>0</v>
      </c>
      <c r="AM277" s="25">
        <f t="shared" si="105"/>
        <v>0</v>
      </c>
      <c r="BK277" s="1">
        <f t="shared" si="92"/>
        <v>1390</v>
      </c>
      <c r="BL277" s="20">
        <f t="shared" si="92"/>
        <v>0.89799633582013083</v>
      </c>
      <c r="BM277" s="25">
        <f>VLOOKUP(BK277,'Hazard Weighting Functions'!$B$5:$G$1205,4,FALSE)</f>
        <v>0.02</v>
      </c>
      <c r="BN277" s="25">
        <f t="shared" si="102"/>
        <v>1.7959926716402615E-2</v>
      </c>
      <c r="BO277" s="25">
        <f t="shared" si="106"/>
        <v>9.0386329565891252E-2</v>
      </c>
      <c r="BP277" s="20">
        <f t="shared" si="111"/>
        <v>1270</v>
      </c>
      <c r="BQ277" s="20">
        <f t="shared" si="110"/>
        <v>1.0246743224001993</v>
      </c>
      <c r="BR277" s="25">
        <f>VLOOKUP(BP277,'Hazard Weighting Functions'!$B$5:$G$1205,4,FALSE)</f>
        <v>0.02</v>
      </c>
      <c r="BS277" s="25">
        <f t="shared" si="103"/>
        <v>2.0493486448003986E-2</v>
      </c>
      <c r="BT277" s="25">
        <f t="shared" si="104"/>
        <v>0.10725201602482168</v>
      </c>
    </row>
    <row r="278" spans="11:72">
      <c r="K278" s="25">
        <v>2245</v>
      </c>
      <c r="L278" s="36"/>
      <c r="N278" s="25">
        <v>1395</v>
      </c>
      <c r="O278" s="36">
        <v>0.90973025549769426</v>
      </c>
      <c r="Q278" s="20">
        <v>1275</v>
      </c>
      <c r="R278" s="36">
        <v>1.1203659980962346</v>
      </c>
      <c r="V278" s="25">
        <f>K58</f>
        <v>1145</v>
      </c>
      <c r="W278" s="26">
        <f t="shared" si="109"/>
        <v>0</v>
      </c>
      <c r="Y278" s="25">
        <f t="shared" si="108"/>
        <v>1145</v>
      </c>
      <c r="Z278" s="25">
        <f t="shared" si="108"/>
        <v>0</v>
      </c>
      <c r="AK278" s="25">
        <f t="shared" si="107"/>
        <v>0</v>
      </c>
      <c r="AM278" s="25">
        <f t="shared" si="105"/>
        <v>0</v>
      </c>
      <c r="BK278" s="1">
        <f t="shared" si="92"/>
        <v>1395</v>
      </c>
      <c r="BL278" s="20">
        <f t="shared" si="92"/>
        <v>0.90973025549769426</v>
      </c>
      <c r="BM278" s="25">
        <f>VLOOKUP(BK278,'Hazard Weighting Functions'!$B$5:$G$1205,4,FALSE)</f>
        <v>0.02</v>
      </c>
      <c r="BN278" s="25">
        <f t="shared" si="102"/>
        <v>1.8194605109953885E-2</v>
      </c>
      <c r="BO278" s="25">
        <f t="shared" si="106"/>
        <v>9.0033905235680708E-2</v>
      </c>
      <c r="BP278" s="20">
        <f t="shared" si="111"/>
        <v>1275</v>
      </c>
      <c r="BQ278" s="20">
        <f t="shared" si="110"/>
        <v>1.1203659980962346</v>
      </c>
      <c r="BR278" s="25">
        <f>VLOOKUP(BP278,'Hazard Weighting Functions'!$B$5:$G$1205,4,FALSE)</f>
        <v>0.02</v>
      </c>
      <c r="BS278" s="25">
        <f t="shared" si="103"/>
        <v>2.2407319961924691E-2</v>
      </c>
      <c r="BT278" s="25">
        <f t="shared" si="104"/>
        <v>0.11126309868545443</v>
      </c>
    </row>
    <row r="279" spans="11:72">
      <c r="K279" s="25">
        <v>2250</v>
      </c>
      <c r="L279" s="36"/>
      <c r="N279" s="25">
        <v>1400</v>
      </c>
      <c r="O279" s="36">
        <v>0.89094784921591963</v>
      </c>
      <c r="Q279" s="20">
        <v>1280</v>
      </c>
      <c r="R279" s="36">
        <v>1.104895975612854</v>
      </c>
      <c r="V279" s="25">
        <f>K59</f>
        <v>1150</v>
      </c>
      <c r="W279" s="26">
        <f t="shared" si="109"/>
        <v>0</v>
      </c>
      <c r="Y279" s="25">
        <f t="shared" si="108"/>
        <v>1150</v>
      </c>
      <c r="Z279" s="25">
        <f t="shared" si="108"/>
        <v>0</v>
      </c>
      <c r="AK279" s="25">
        <f t="shared" si="107"/>
        <v>0</v>
      </c>
      <c r="AM279" s="25">
        <f t="shared" si="105"/>
        <v>0</v>
      </c>
      <c r="BK279" s="1">
        <f t="shared" si="92"/>
        <v>1400</v>
      </c>
      <c r="BL279" s="20">
        <f t="shared" si="92"/>
        <v>0.89094784921591963</v>
      </c>
      <c r="BM279" s="25">
        <f>VLOOKUP(BK279,'Hazard Weighting Functions'!$B$5:$G$1205,4,FALSE)</f>
        <v>0.02</v>
      </c>
      <c r="BN279" s="25">
        <f t="shared" si="102"/>
        <v>1.7818956984318395E-2</v>
      </c>
      <c r="BP279" s="20">
        <f t="shared" si="111"/>
        <v>1280</v>
      </c>
      <c r="BQ279" s="20">
        <f t="shared" si="110"/>
        <v>1.104895975612854</v>
      </c>
      <c r="BR279" s="25">
        <f>VLOOKUP(BP279,'Hazard Weighting Functions'!$B$5:$G$1205,4,FALSE)</f>
        <v>0.02</v>
      </c>
      <c r="BS279" s="25">
        <f t="shared" si="103"/>
        <v>2.2097919512257081E-2</v>
      </c>
      <c r="BT279" s="25">
        <f t="shared" si="104"/>
        <v>0.13631901665609247</v>
      </c>
    </row>
    <row r="280" spans="11:72">
      <c r="K280" s="25">
        <v>2255</v>
      </c>
      <c r="L280" s="36"/>
      <c r="Q280" s="20">
        <v>1285</v>
      </c>
      <c r="R280" s="36">
        <v>1.621484357508995</v>
      </c>
      <c r="V280" s="25">
        <f>K60</f>
        <v>1155</v>
      </c>
      <c r="W280" s="26">
        <f t="shared" si="109"/>
        <v>0</v>
      </c>
      <c r="Y280" s="25">
        <f t="shared" si="108"/>
        <v>1155</v>
      </c>
      <c r="Z280" s="25">
        <f t="shared" si="108"/>
        <v>0</v>
      </c>
      <c r="AK280" s="25">
        <f t="shared" si="107"/>
        <v>0</v>
      </c>
      <c r="AM280" s="25">
        <f t="shared" si="105"/>
        <v>0</v>
      </c>
      <c r="BK280" s="1"/>
      <c r="BL280" s="1"/>
      <c r="BP280" s="20">
        <f t="shared" si="111"/>
        <v>1285</v>
      </c>
      <c r="BQ280" s="20">
        <f t="shared" si="110"/>
        <v>1.621484357508995</v>
      </c>
      <c r="BR280" s="25">
        <f>VLOOKUP(BP280,'Hazard Weighting Functions'!$B$5:$G$1205,4,FALSE)</f>
        <v>0.02</v>
      </c>
      <c r="BS280" s="25">
        <f t="shared" si="103"/>
        <v>3.2429687150179902E-2</v>
      </c>
      <c r="BT280" s="25">
        <f t="shared" si="104"/>
        <v>0.15112332596588882</v>
      </c>
    </row>
    <row r="281" spans="11:72">
      <c r="K281" s="25">
        <v>2260</v>
      </c>
      <c r="L281" s="36"/>
      <c r="Q281" s="20">
        <v>1290</v>
      </c>
      <c r="R281" s="36">
        <v>1.4009821618087812</v>
      </c>
      <c r="V281" s="25">
        <f>K61</f>
        <v>1160</v>
      </c>
      <c r="W281" s="26">
        <f t="shared" si="109"/>
        <v>0</v>
      </c>
      <c r="Y281" s="25">
        <f t="shared" si="108"/>
        <v>1160</v>
      </c>
      <c r="Z281" s="25">
        <f t="shared" si="108"/>
        <v>0</v>
      </c>
      <c r="AK281" s="25">
        <f t="shared" si="107"/>
        <v>0</v>
      </c>
      <c r="AM281" s="25">
        <f t="shared" si="105"/>
        <v>0</v>
      </c>
      <c r="BK281" s="1"/>
      <c r="BL281" s="1"/>
      <c r="BP281" s="20">
        <f t="shared" si="111"/>
        <v>1290</v>
      </c>
      <c r="BQ281" s="20">
        <f t="shared" si="110"/>
        <v>1.4009821618087812</v>
      </c>
      <c r="BR281" s="25">
        <f>VLOOKUP(BP281,'Hazard Weighting Functions'!$B$5:$G$1205,4,FALSE)</f>
        <v>0.02</v>
      </c>
      <c r="BS281" s="25">
        <f t="shared" si="103"/>
        <v>2.8019643236175625E-2</v>
      </c>
      <c r="BT281" s="25">
        <f t="shared" si="104"/>
        <v>0.14619498272385151</v>
      </c>
    </row>
    <row r="282" spans="11:72">
      <c r="K282" s="25">
        <v>2265</v>
      </c>
      <c r="L282" s="36"/>
      <c r="Q282" s="20">
        <v>1295</v>
      </c>
      <c r="R282" s="36">
        <v>1.5229174926682487</v>
      </c>
      <c r="V282" s="25">
        <f>K62</f>
        <v>1165</v>
      </c>
      <c r="W282" s="26">
        <f t="shared" si="109"/>
        <v>0</v>
      </c>
      <c r="Y282" s="25">
        <f t="shared" si="108"/>
        <v>1165</v>
      </c>
      <c r="Z282" s="25">
        <f t="shared" si="108"/>
        <v>0</v>
      </c>
      <c r="AK282" s="25">
        <f t="shared" si="107"/>
        <v>0</v>
      </c>
      <c r="AM282" s="25">
        <f t="shared" si="105"/>
        <v>0</v>
      </c>
      <c r="BK282" s="1"/>
      <c r="BL282" s="1"/>
      <c r="BP282" s="20">
        <f t="shared" si="111"/>
        <v>1295</v>
      </c>
      <c r="BQ282" s="20">
        <f t="shared" si="110"/>
        <v>1.5229174926682487</v>
      </c>
      <c r="BR282" s="25">
        <f>VLOOKUP(BP282,'Hazard Weighting Functions'!$B$5:$G$1205,4,FALSE)</f>
        <v>0.02</v>
      </c>
      <c r="BS282" s="25">
        <f t="shared" si="103"/>
        <v>3.0458349853364975E-2</v>
      </c>
      <c r="BT282" s="25">
        <f t="shared" si="104"/>
        <v>0.14417262055386779</v>
      </c>
    </row>
    <row r="283" spans="11:72">
      <c r="K283" s="25">
        <v>2270</v>
      </c>
      <c r="L283" s="36"/>
      <c r="Q283" s="20">
        <v>1300</v>
      </c>
      <c r="R283" s="36">
        <v>1.3605349184091069</v>
      </c>
      <c r="V283" s="25">
        <f>K63</f>
        <v>1170</v>
      </c>
      <c r="W283" s="26">
        <f t="shared" si="109"/>
        <v>0</v>
      </c>
      <c r="Y283" s="25">
        <f t="shared" si="108"/>
        <v>1170</v>
      </c>
      <c r="Z283" s="25">
        <f t="shared" si="108"/>
        <v>0</v>
      </c>
      <c r="AK283" s="25">
        <f t="shared" si="107"/>
        <v>0</v>
      </c>
      <c r="AM283" s="25">
        <f t="shared" si="105"/>
        <v>0</v>
      </c>
      <c r="BK283" s="1"/>
      <c r="BL283" s="1"/>
      <c r="BP283" s="20">
        <f t="shared" si="111"/>
        <v>1300</v>
      </c>
      <c r="BQ283" s="20">
        <f t="shared" si="110"/>
        <v>1.3605349184091069</v>
      </c>
      <c r="BR283" s="25">
        <f>VLOOKUP(BP283,'Hazard Weighting Functions'!$B$5:$G$1205,4,FALSE)</f>
        <v>0.02</v>
      </c>
      <c r="BS283" s="25">
        <f t="shared" si="103"/>
        <v>2.7210698368182139E-2</v>
      </c>
      <c r="BT283" s="25">
        <f t="shared" si="104"/>
        <v>0.14215105936980613</v>
      </c>
    </row>
    <row r="284" spans="11:72">
      <c r="K284" s="25">
        <v>2275</v>
      </c>
      <c r="L284" s="36"/>
      <c r="Q284" s="20">
        <v>1305</v>
      </c>
      <c r="R284" s="36">
        <v>1.4824862689870153</v>
      </c>
      <c r="V284" s="25">
        <f>K64</f>
        <v>1175</v>
      </c>
      <c r="W284" s="26">
        <f t="shared" si="109"/>
        <v>0</v>
      </c>
      <c r="Y284" s="25">
        <f t="shared" si="108"/>
        <v>1175</v>
      </c>
      <c r="Z284" s="25">
        <f t="shared" si="108"/>
        <v>0</v>
      </c>
      <c r="AK284" s="25">
        <f t="shared" si="107"/>
        <v>0</v>
      </c>
      <c r="AM284" s="25">
        <f t="shared" si="105"/>
        <v>0</v>
      </c>
      <c r="BK284" s="1"/>
      <c r="BL284" s="1"/>
      <c r="BP284" s="20">
        <f t="shared" si="111"/>
        <v>1305</v>
      </c>
      <c r="BQ284" s="20">
        <f t="shared" si="110"/>
        <v>1.4824862689870153</v>
      </c>
      <c r="BR284" s="25">
        <f>VLOOKUP(BP284,'Hazard Weighting Functions'!$B$5:$G$1205,4,FALSE)</f>
        <v>0.02</v>
      </c>
      <c r="BS284" s="25">
        <f t="shared" si="103"/>
        <v>2.9649725379740307E-2</v>
      </c>
      <c r="BT284" s="25">
        <f t="shared" si="104"/>
        <v>0.17180692879545875</v>
      </c>
    </row>
    <row r="285" spans="11:72">
      <c r="K285" s="25">
        <v>2280</v>
      </c>
      <c r="L285" s="36"/>
      <c r="Q285" s="20">
        <v>1310</v>
      </c>
      <c r="R285" s="36">
        <v>1.9536523069221594</v>
      </c>
      <c r="V285" s="25">
        <f>K65</f>
        <v>1180</v>
      </c>
      <c r="W285" s="26">
        <f t="shared" si="109"/>
        <v>0</v>
      </c>
      <c r="Y285" s="25">
        <f t="shared" si="108"/>
        <v>1180</v>
      </c>
      <c r="Z285" s="25">
        <f t="shared" si="108"/>
        <v>0</v>
      </c>
      <c r="AK285" s="25">
        <f t="shared" si="107"/>
        <v>0</v>
      </c>
      <c r="AM285" s="25">
        <f t="shared" si="105"/>
        <v>0</v>
      </c>
      <c r="BK285" s="1"/>
      <c r="BL285" s="1"/>
      <c r="BP285" s="20">
        <f t="shared" si="111"/>
        <v>1310</v>
      </c>
      <c r="BQ285" s="20">
        <f t="shared" si="110"/>
        <v>1.9536523069221594</v>
      </c>
      <c r="BR285" s="25">
        <f>VLOOKUP(BP285,'Hazard Weighting Functions'!$B$5:$G$1205,4,FALSE)</f>
        <v>0.02</v>
      </c>
      <c r="BS285" s="25">
        <f t="shared" si="103"/>
        <v>3.9073046138443188E-2</v>
      </c>
      <c r="BT285" s="25">
        <f t="shared" si="104"/>
        <v>0.18199161563598748</v>
      </c>
    </row>
    <row r="286" spans="11:72">
      <c r="K286" s="25">
        <v>2285</v>
      </c>
      <c r="L286" s="36"/>
      <c r="Q286" s="20">
        <v>1315</v>
      </c>
      <c r="R286" s="36">
        <v>1.6861800057975906</v>
      </c>
      <c r="V286" s="25">
        <f>K66</f>
        <v>1185</v>
      </c>
      <c r="W286" s="26">
        <f t="shared" si="109"/>
        <v>0</v>
      </c>
      <c r="Y286" s="25">
        <f t="shared" si="108"/>
        <v>1185</v>
      </c>
      <c r="Z286" s="25">
        <f t="shared" si="108"/>
        <v>0</v>
      </c>
      <c r="AK286" s="25">
        <f t="shared" si="107"/>
        <v>0</v>
      </c>
      <c r="AM286" s="25">
        <f t="shared" si="105"/>
        <v>0</v>
      </c>
      <c r="BK286" s="1"/>
      <c r="BL286" s="1"/>
      <c r="BP286" s="20">
        <f t="shared" si="111"/>
        <v>1315</v>
      </c>
      <c r="BQ286" s="20">
        <f t="shared" si="110"/>
        <v>1.6861800057975906</v>
      </c>
      <c r="BR286" s="25">
        <f>VLOOKUP(BP286,'Hazard Weighting Functions'!$B$5:$G$1205,4,FALSE)</f>
        <v>0.02</v>
      </c>
      <c r="BS286" s="25">
        <f t="shared" ref="BS286:BS303" si="112">BR286*BQ286</f>
        <v>3.3723600115951817E-2</v>
      </c>
      <c r="BT286" s="25">
        <f t="shared" ref="BT286:BT302" si="113">0.5*(BP287-BP286)*(BS286+BS287)</f>
        <v>0.16894581812734794</v>
      </c>
    </row>
    <row r="287" spans="11:72">
      <c r="K287" s="25">
        <v>2290</v>
      </c>
      <c r="L287" s="36"/>
      <c r="Q287" s="20">
        <v>1320</v>
      </c>
      <c r="R287" s="36">
        <v>1.6927363567493683</v>
      </c>
      <c r="V287" s="25">
        <f>K67</f>
        <v>1190</v>
      </c>
      <c r="W287" s="26">
        <f t="shared" si="109"/>
        <v>0</v>
      </c>
      <c r="Y287" s="25">
        <f t="shared" si="108"/>
        <v>1190</v>
      </c>
      <c r="Z287" s="25">
        <f t="shared" si="108"/>
        <v>0</v>
      </c>
      <c r="AK287" s="25">
        <f t="shared" si="107"/>
        <v>0</v>
      </c>
      <c r="AM287" s="25">
        <f t="shared" si="105"/>
        <v>0</v>
      </c>
      <c r="BK287" s="1"/>
      <c r="BL287" s="1"/>
      <c r="BP287" s="20">
        <f t="shared" si="111"/>
        <v>1320</v>
      </c>
      <c r="BQ287" s="20">
        <f t="shared" si="110"/>
        <v>1.6927363567493683</v>
      </c>
      <c r="BR287" s="25">
        <f>VLOOKUP(BP287,'Hazard Weighting Functions'!$B$5:$G$1205,4,FALSE)</f>
        <v>0.02</v>
      </c>
      <c r="BS287" s="25">
        <f t="shared" si="112"/>
        <v>3.385472713498737E-2</v>
      </c>
      <c r="BT287" s="25">
        <f t="shared" si="113"/>
        <v>0.1776700169709029</v>
      </c>
    </row>
    <row r="288" spans="11:72">
      <c r="K288" s="25">
        <v>2295</v>
      </c>
      <c r="L288" s="36"/>
      <c r="Q288" s="20">
        <v>1325</v>
      </c>
      <c r="R288" s="36">
        <v>1.8606639826686895</v>
      </c>
      <c r="V288" s="25">
        <f>K68</f>
        <v>1195</v>
      </c>
      <c r="W288" s="26">
        <f t="shared" si="109"/>
        <v>0</v>
      </c>
      <c r="Y288" s="25">
        <f t="shared" si="108"/>
        <v>1195</v>
      </c>
      <c r="Z288" s="25">
        <f t="shared" si="108"/>
        <v>0</v>
      </c>
      <c r="AK288" s="25">
        <f t="shared" si="107"/>
        <v>0</v>
      </c>
      <c r="AM288" s="25">
        <f t="shared" si="105"/>
        <v>0</v>
      </c>
      <c r="BK288" s="1"/>
      <c r="BL288" s="1"/>
      <c r="BP288" s="20">
        <f>Q288</f>
        <v>1325</v>
      </c>
      <c r="BQ288" s="20">
        <f t="shared" si="110"/>
        <v>1.8606639826686895</v>
      </c>
      <c r="BR288" s="25">
        <f>VLOOKUP(BP288,'Hazard Weighting Functions'!$B$5:$G$1205,4,FALSE)</f>
        <v>0.02</v>
      </c>
      <c r="BS288" s="25">
        <f t="shared" si="112"/>
        <v>3.7213279653373788E-2</v>
      </c>
      <c r="BT288" s="25">
        <f t="shared" si="113"/>
        <v>0.18729771051736152</v>
      </c>
    </row>
    <row r="289" spans="11:72">
      <c r="K289" s="25">
        <v>2300</v>
      </c>
      <c r="L289" s="36"/>
      <c r="Q289" s="20">
        <v>1330</v>
      </c>
      <c r="R289" s="36">
        <v>1.885290227678541</v>
      </c>
      <c r="V289" s="25">
        <f>K69</f>
        <v>1200</v>
      </c>
      <c r="W289" s="26">
        <f t="shared" si="109"/>
        <v>0</v>
      </c>
      <c r="Y289" s="25">
        <f t="shared" si="108"/>
        <v>1200</v>
      </c>
      <c r="Z289" s="25">
        <f t="shared" si="108"/>
        <v>0</v>
      </c>
      <c r="AK289" s="25">
        <f t="shared" si="107"/>
        <v>0</v>
      </c>
      <c r="AM289" s="25">
        <f t="shared" si="105"/>
        <v>0</v>
      </c>
      <c r="BK289" s="1"/>
      <c r="BL289" s="1"/>
      <c r="BP289" s="20">
        <f t="shared" ref="BP289:BP300" si="114">Q289</f>
        <v>1330</v>
      </c>
      <c r="BQ289" s="20">
        <f t="shared" si="110"/>
        <v>1.885290227678541</v>
      </c>
      <c r="BR289" s="25">
        <f>VLOOKUP(BP289,'Hazard Weighting Functions'!$B$5:$G$1205,4,FALSE)</f>
        <v>0.02</v>
      </c>
      <c r="BS289" s="25">
        <f t="shared" si="112"/>
        <v>3.7705804553570824E-2</v>
      </c>
      <c r="BT289" s="25">
        <f t="shared" si="113"/>
        <v>0.18939337204109549</v>
      </c>
    </row>
    <row r="290" spans="11:72">
      <c r="K290" s="25">
        <v>2305</v>
      </c>
      <c r="L290" s="36"/>
      <c r="Q290" s="20">
        <v>1335</v>
      </c>
      <c r="R290" s="36">
        <v>1.9025772131433691</v>
      </c>
      <c r="V290" s="25">
        <f>K70</f>
        <v>1205</v>
      </c>
      <c r="W290" s="26">
        <f t="shared" si="109"/>
        <v>0</v>
      </c>
      <c r="Y290" s="25">
        <f t="shared" si="108"/>
        <v>1205</v>
      </c>
      <c r="Z290" s="25">
        <f t="shared" si="108"/>
        <v>0</v>
      </c>
      <c r="AK290" s="25">
        <f t="shared" si="107"/>
        <v>0</v>
      </c>
      <c r="AM290" s="25">
        <f t="shared" si="105"/>
        <v>0</v>
      </c>
      <c r="BK290" s="1"/>
      <c r="BL290" s="1"/>
      <c r="BP290" s="20">
        <f t="shared" si="114"/>
        <v>1335</v>
      </c>
      <c r="BQ290" s="20">
        <f t="shared" si="110"/>
        <v>1.9025772131433691</v>
      </c>
      <c r="BR290" s="25">
        <f>VLOOKUP(BP290,'Hazard Weighting Functions'!$B$5:$G$1205,4,FALSE)</f>
        <v>0.02</v>
      </c>
      <c r="BS290" s="25">
        <f t="shared" si="112"/>
        <v>3.805154426286738E-2</v>
      </c>
      <c r="BT290" s="25">
        <f t="shared" si="113"/>
        <v>0.18252376762096664</v>
      </c>
    </row>
    <row r="291" spans="11:72">
      <c r="K291" s="25">
        <v>2310</v>
      </c>
      <c r="L291" s="36"/>
      <c r="Q291" s="20">
        <v>1340</v>
      </c>
      <c r="R291" s="36">
        <v>1.7478981392759636</v>
      </c>
      <c r="V291" s="25">
        <f>K71</f>
        <v>1210</v>
      </c>
      <c r="W291" s="26">
        <f t="shared" si="109"/>
        <v>0</v>
      </c>
      <c r="Y291" s="25">
        <f t="shared" si="108"/>
        <v>1210</v>
      </c>
      <c r="Z291" s="25">
        <f t="shared" si="108"/>
        <v>0</v>
      </c>
      <c r="AK291" s="25">
        <f t="shared" si="107"/>
        <v>0</v>
      </c>
      <c r="AM291" s="25">
        <f t="shared" si="105"/>
        <v>0</v>
      </c>
      <c r="BK291" s="1"/>
      <c r="BL291" s="1"/>
      <c r="BP291" s="20">
        <f t="shared" si="114"/>
        <v>1340</v>
      </c>
      <c r="BQ291" s="20">
        <f t="shared" si="110"/>
        <v>1.7478981392759636</v>
      </c>
      <c r="BR291" s="25">
        <f>VLOOKUP(BP291,'Hazard Weighting Functions'!$B$5:$G$1205,4,FALSE)</f>
        <v>0.02</v>
      </c>
      <c r="BS291" s="25">
        <f t="shared" si="112"/>
        <v>3.495796278551927E-2</v>
      </c>
      <c r="BT291" s="25">
        <f t="shared" si="113"/>
        <v>0.15526252734826285</v>
      </c>
    </row>
    <row r="292" spans="11:72">
      <c r="K292" s="25">
        <v>2315</v>
      </c>
      <c r="L292" s="36"/>
      <c r="Q292" s="20">
        <v>1345</v>
      </c>
      <c r="R292" s="36">
        <v>1.3573524076892935</v>
      </c>
      <c r="V292" s="25">
        <f>K72</f>
        <v>1215</v>
      </c>
      <c r="W292" s="26">
        <f t="shared" si="109"/>
        <v>0</v>
      </c>
      <c r="Y292" s="25">
        <f t="shared" si="108"/>
        <v>1215</v>
      </c>
      <c r="Z292" s="25">
        <f t="shared" si="108"/>
        <v>0</v>
      </c>
      <c r="AK292" s="25">
        <f t="shared" si="107"/>
        <v>0</v>
      </c>
      <c r="AM292" s="25">
        <f t="shared" si="105"/>
        <v>0</v>
      </c>
      <c r="BK292" s="1"/>
      <c r="BL292" s="1"/>
      <c r="BP292" s="20">
        <f t="shared" si="114"/>
        <v>1345</v>
      </c>
      <c r="BQ292" s="20">
        <f t="shared" si="110"/>
        <v>1.3573524076892935</v>
      </c>
      <c r="BR292" s="25">
        <f>VLOOKUP(BP292,'Hazard Weighting Functions'!$B$5:$G$1205,4,FALSE)</f>
        <v>0.02</v>
      </c>
      <c r="BS292" s="25">
        <f t="shared" si="112"/>
        <v>2.7147048153785873E-2</v>
      </c>
      <c r="BT292" s="25">
        <f t="shared" si="113"/>
        <v>0.12177680057919399</v>
      </c>
    </row>
    <row r="293" spans="11:72">
      <c r="K293" s="25">
        <v>2320</v>
      </c>
      <c r="L293" s="36"/>
      <c r="Q293" s="20">
        <v>1350</v>
      </c>
      <c r="R293" s="36">
        <v>1.0781836038945858</v>
      </c>
      <c r="V293" s="25">
        <f>K73</f>
        <v>1220</v>
      </c>
      <c r="W293" s="26">
        <f t="shared" si="109"/>
        <v>0</v>
      </c>
      <c r="Y293" s="25">
        <f t="shared" si="108"/>
        <v>1220</v>
      </c>
      <c r="Z293" s="25">
        <f t="shared" si="108"/>
        <v>0</v>
      </c>
      <c r="AK293" s="25">
        <f t="shared" si="107"/>
        <v>0</v>
      </c>
      <c r="AM293" s="25">
        <f t="shared" si="105"/>
        <v>0</v>
      </c>
      <c r="BK293" s="1"/>
      <c r="BL293" s="1"/>
      <c r="BP293" s="20">
        <f t="shared" si="114"/>
        <v>1350</v>
      </c>
      <c r="BQ293" s="20">
        <f t="shared" si="110"/>
        <v>1.0781836038945858</v>
      </c>
      <c r="BR293" s="25">
        <f>VLOOKUP(BP293,'Hazard Weighting Functions'!$B$5:$G$1205,4,FALSE)</f>
        <v>0.02</v>
      </c>
      <c r="BS293" s="25">
        <f t="shared" si="112"/>
        <v>2.1563672077891716E-2</v>
      </c>
      <c r="BT293" s="25">
        <f t="shared" si="113"/>
        <v>0.10992164566751092</v>
      </c>
    </row>
    <row r="294" spans="11:72">
      <c r="K294" s="25">
        <v>2325</v>
      </c>
      <c r="L294" s="36"/>
      <c r="Q294" s="20">
        <v>1355</v>
      </c>
      <c r="R294" s="36">
        <v>1.1202493094556327</v>
      </c>
      <c r="V294" s="25">
        <f>K74</f>
        <v>1225</v>
      </c>
      <c r="W294" s="26">
        <f t="shared" si="109"/>
        <v>0</v>
      </c>
      <c r="Y294" s="25">
        <f t="shared" si="108"/>
        <v>1225</v>
      </c>
      <c r="Z294" s="25">
        <f t="shared" si="108"/>
        <v>0</v>
      </c>
      <c r="AK294" s="25">
        <f t="shared" si="107"/>
        <v>0</v>
      </c>
      <c r="AM294" s="25">
        <f t="shared" si="105"/>
        <v>0</v>
      </c>
      <c r="BK294" s="1"/>
      <c r="BL294" s="1"/>
      <c r="BP294" s="20">
        <f t="shared" si="114"/>
        <v>1355</v>
      </c>
      <c r="BQ294" s="20">
        <f t="shared" si="110"/>
        <v>1.1202493094556327</v>
      </c>
      <c r="BR294" s="25">
        <f>VLOOKUP(BP294,'Hazard Weighting Functions'!$B$5:$G$1205,4,FALSE)</f>
        <v>0.02</v>
      </c>
      <c r="BS294" s="25">
        <f t="shared" si="112"/>
        <v>2.2404986189112654E-2</v>
      </c>
      <c r="BT294" s="25">
        <f t="shared" si="113"/>
        <v>9.0769171865690543E-2</v>
      </c>
    </row>
    <row r="295" spans="11:72">
      <c r="K295" s="25">
        <v>2330</v>
      </c>
      <c r="L295" s="36"/>
      <c r="Q295" s="20">
        <v>1360</v>
      </c>
      <c r="R295" s="36">
        <v>0.69513412785817807</v>
      </c>
      <c r="V295" s="25">
        <f>K75</f>
        <v>1230</v>
      </c>
      <c r="W295" s="26">
        <f t="shared" si="109"/>
        <v>0</v>
      </c>
      <c r="Y295" s="25">
        <f t="shared" si="108"/>
        <v>1230</v>
      </c>
      <c r="Z295" s="25">
        <f t="shared" si="108"/>
        <v>0</v>
      </c>
      <c r="AK295" s="25">
        <f t="shared" si="107"/>
        <v>0</v>
      </c>
      <c r="AM295" s="25">
        <f t="shared" si="105"/>
        <v>0</v>
      </c>
      <c r="BK295" s="1"/>
      <c r="BL295" s="1"/>
      <c r="BP295" s="20">
        <f t="shared" si="114"/>
        <v>1360</v>
      </c>
      <c r="BQ295" s="20">
        <f t="shared" si="110"/>
        <v>0.69513412785817807</v>
      </c>
      <c r="BR295" s="25">
        <f>VLOOKUP(BP295,'Hazard Weighting Functions'!$B$5:$G$1205,4,FALSE)</f>
        <v>0.02</v>
      </c>
      <c r="BS295" s="25">
        <f t="shared" si="112"/>
        <v>1.3902682557163561E-2</v>
      </c>
      <c r="BT295" s="25">
        <f t="shared" si="113"/>
        <v>6.880170928468822E-2</v>
      </c>
    </row>
    <row r="296" spans="11:72">
      <c r="K296" s="25">
        <v>2335</v>
      </c>
      <c r="L296" s="36"/>
      <c r="Q296" s="20">
        <v>1365</v>
      </c>
      <c r="R296" s="36">
        <v>0.68090005783558638</v>
      </c>
      <c r="V296" s="25">
        <f>K76</f>
        <v>1235</v>
      </c>
      <c r="W296" s="26">
        <f t="shared" si="109"/>
        <v>0</v>
      </c>
      <c r="Y296" s="25">
        <f t="shared" si="108"/>
        <v>1235</v>
      </c>
      <c r="Z296" s="25">
        <f t="shared" si="108"/>
        <v>0</v>
      </c>
      <c r="AK296" s="25">
        <f t="shared" si="107"/>
        <v>0</v>
      </c>
      <c r="AM296" s="25">
        <f t="shared" si="105"/>
        <v>0</v>
      </c>
      <c r="BK296" s="1"/>
      <c r="BL296" s="1"/>
      <c r="BP296" s="20">
        <f t="shared" si="114"/>
        <v>1365</v>
      </c>
      <c r="BQ296" s="20">
        <f t="shared" si="110"/>
        <v>0.68090005783558638</v>
      </c>
      <c r="BR296" s="25">
        <f>VLOOKUP(BP296,'Hazard Weighting Functions'!$B$5:$G$1205,4,FALSE)</f>
        <v>0.02</v>
      </c>
      <c r="BS296" s="25">
        <f t="shared" si="112"/>
        <v>1.3618001156711728E-2</v>
      </c>
      <c r="BT296" s="25">
        <f t="shared" si="113"/>
        <v>7.5535213164099571E-2</v>
      </c>
    </row>
    <row r="297" spans="11:72">
      <c r="K297" s="25">
        <v>2340</v>
      </c>
      <c r="L297" s="36"/>
      <c r="Q297" s="20">
        <v>1370</v>
      </c>
      <c r="R297" s="36">
        <v>0.82980420544640499</v>
      </c>
      <c r="V297" s="25">
        <f>K77</f>
        <v>1240</v>
      </c>
      <c r="W297" s="26">
        <f t="shared" si="109"/>
        <v>0</v>
      </c>
      <c r="Y297" s="25">
        <f t="shared" si="108"/>
        <v>1240</v>
      </c>
      <c r="Z297" s="25">
        <f t="shared" si="108"/>
        <v>0</v>
      </c>
      <c r="AK297" s="25">
        <f t="shared" si="107"/>
        <v>0</v>
      </c>
      <c r="AM297" s="25">
        <f t="shared" si="105"/>
        <v>0</v>
      </c>
      <c r="BK297" s="1"/>
      <c r="BL297" s="1"/>
      <c r="BP297" s="20">
        <f t="shared" si="114"/>
        <v>1370</v>
      </c>
      <c r="BQ297" s="20">
        <f t="shared" si="110"/>
        <v>0.82980420544640499</v>
      </c>
      <c r="BR297" s="25">
        <f>VLOOKUP(BP297,'Hazard Weighting Functions'!$B$5:$G$1205,4,FALSE)</f>
        <v>0.02</v>
      </c>
      <c r="BS297" s="25">
        <f t="shared" si="112"/>
        <v>1.65960841089281E-2</v>
      </c>
      <c r="BT297" s="25">
        <f t="shared" si="113"/>
        <v>8.1155832510786258E-2</v>
      </c>
    </row>
    <row r="298" spans="11:72">
      <c r="K298" s="25">
        <v>2345</v>
      </c>
      <c r="L298" s="36"/>
      <c r="Q298" s="20">
        <v>1375</v>
      </c>
      <c r="R298" s="36">
        <v>0.79331244476931995</v>
      </c>
      <c r="V298" s="25">
        <f>K78</f>
        <v>1245</v>
      </c>
      <c r="W298" s="26">
        <f t="shared" si="109"/>
        <v>0</v>
      </c>
      <c r="Y298" s="25">
        <f t="shared" si="108"/>
        <v>1245</v>
      </c>
      <c r="Z298" s="25">
        <f t="shared" si="108"/>
        <v>0</v>
      </c>
      <c r="AK298" s="25">
        <f t="shared" si="107"/>
        <v>0</v>
      </c>
      <c r="AM298" s="25">
        <f t="shared" si="105"/>
        <v>0</v>
      </c>
      <c r="BK298" s="1"/>
      <c r="BL298" s="1"/>
      <c r="BP298" s="20">
        <f t="shared" si="114"/>
        <v>1375</v>
      </c>
      <c r="BQ298" s="20">
        <f t="shared" si="110"/>
        <v>0.79331244476931995</v>
      </c>
      <c r="BR298" s="25">
        <f>VLOOKUP(BP298,'Hazard Weighting Functions'!$B$5:$G$1205,4,FALSE)</f>
        <v>0.02</v>
      </c>
      <c r="BS298" s="25">
        <f t="shared" si="112"/>
        <v>1.58662488953864E-2</v>
      </c>
      <c r="BT298" s="25">
        <f t="shared" si="113"/>
        <v>7.5851690353746393E-2</v>
      </c>
    </row>
    <row r="299" spans="11:72">
      <c r="K299" s="25">
        <v>2350</v>
      </c>
      <c r="L299" s="36"/>
      <c r="Q299" s="20">
        <v>1380</v>
      </c>
      <c r="R299" s="36">
        <v>0.72372136230560791</v>
      </c>
      <c r="V299" s="25">
        <f>K79</f>
        <v>1250</v>
      </c>
      <c r="W299" s="26">
        <f t="shared" si="109"/>
        <v>0</v>
      </c>
      <c r="Y299" s="25">
        <f t="shared" si="108"/>
        <v>1250</v>
      </c>
      <c r="Z299" s="25">
        <f t="shared" si="108"/>
        <v>0</v>
      </c>
      <c r="AK299" s="25">
        <f t="shared" si="107"/>
        <v>0</v>
      </c>
      <c r="AM299" s="25">
        <f t="shared" si="105"/>
        <v>0</v>
      </c>
      <c r="BK299" s="1"/>
      <c r="BL299" s="1"/>
      <c r="BP299" s="20">
        <f t="shared" si="114"/>
        <v>1380</v>
      </c>
      <c r="BQ299" s="20">
        <f t="shared" si="110"/>
        <v>0.72372136230560791</v>
      </c>
      <c r="BR299" s="25">
        <f>VLOOKUP(BP299,'Hazard Weighting Functions'!$B$5:$G$1205,4,FALSE)</f>
        <v>0.02</v>
      </c>
      <c r="BS299" s="25">
        <f t="shared" si="112"/>
        <v>1.4474427246112158E-2</v>
      </c>
      <c r="BT299" s="25">
        <f t="shared" si="113"/>
        <v>6.1130971031177588E-2</v>
      </c>
    </row>
    <row r="300" spans="11:72">
      <c r="K300" s="25">
        <v>2355</v>
      </c>
      <c r="L300" s="36"/>
      <c r="Q300" s="20">
        <v>1385</v>
      </c>
      <c r="R300" s="36">
        <v>0.49889805831794376</v>
      </c>
      <c r="V300" s="25">
        <f>K80</f>
        <v>1255</v>
      </c>
      <c r="W300" s="26">
        <f t="shared" si="109"/>
        <v>0</v>
      </c>
      <c r="Y300" s="25">
        <f t="shared" si="108"/>
        <v>1255</v>
      </c>
      <c r="Z300" s="25">
        <f t="shared" si="108"/>
        <v>0</v>
      </c>
      <c r="AK300" s="25">
        <f t="shared" si="107"/>
        <v>0</v>
      </c>
      <c r="AM300" s="25">
        <f t="shared" si="105"/>
        <v>0</v>
      </c>
      <c r="BK300" s="1"/>
      <c r="BL300" s="1"/>
      <c r="BP300" s="20">
        <f t="shared" si="114"/>
        <v>1385</v>
      </c>
      <c r="BQ300" s="20">
        <f t="shared" si="110"/>
        <v>0.49889805831794376</v>
      </c>
      <c r="BR300" s="25">
        <f>VLOOKUP(BP300,'Hazard Weighting Functions'!$B$5:$G$1205,4,FALSE)</f>
        <v>0.02</v>
      </c>
      <c r="BS300" s="25">
        <f t="shared" si="112"/>
        <v>9.9779611663588751E-3</v>
      </c>
      <c r="BT300" s="25">
        <f t="shared" si="113"/>
        <v>6.2771463733631988E-2</v>
      </c>
    </row>
    <row r="301" spans="11:72">
      <c r="K301" s="25">
        <v>2360</v>
      </c>
      <c r="L301" s="36"/>
      <c r="Q301" s="20">
        <v>1390</v>
      </c>
      <c r="R301" s="36">
        <v>0.75653121635469611</v>
      </c>
      <c r="V301" s="25">
        <f>K81</f>
        <v>1260</v>
      </c>
      <c r="W301" s="26">
        <f t="shared" si="109"/>
        <v>0</v>
      </c>
      <c r="Y301" s="25">
        <f t="shared" si="108"/>
        <v>1260</v>
      </c>
      <c r="Z301" s="25">
        <f t="shared" si="108"/>
        <v>0</v>
      </c>
      <c r="AK301" s="25">
        <f t="shared" si="107"/>
        <v>0</v>
      </c>
      <c r="AM301" s="25">
        <f t="shared" si="105"/>
        <v>0</v>
      </c>
      <c r="BK301" s="1"/>
      <c r="BL301" s="1"/>
      <c r="BP301" s="20">
        <f>Q301</f>
        <v>1390</v>
      </c>
      <c r="BQ301" s="20">
        <f t="shared" si="110"/>
        <v>0.75653121635469611</v>
      </c>
      <c r="BR301" s="25">
        <f>VLOOKUP(BP301,'Hazard Weighting Functions'!$B$5:$G$1205,4,FALSE)</f>
        <v>0.02</v>
      </c>
      <c r="BS301" s="25">
        <f t="shared" si="112"/>
        <v>1.5130624327093922E-2</v>
      </c>
      <c r="BT301" s="25">
        <f t="shared" si="113"/>
        <v>7.4583721760276084E-2</v>
      </c>
    </row>
    <row r="302" spans="11:72">
      <c r="K302" s="25">
        <v>2365</v>
      </c>
      <c r="L302" s="36"/>
      <c r="Q302" s="20">
        <v>1395</v>
      </c>
      <c r="R302" s="36">
        <v>0.73514321885082556</v>
      </c>
      <c r="V302" s="25">
        <f>K82</f>
        <v>1265</v>
      </c>
      <c r="W302" s="26">
        <f t="shared" si="109"/>
        <v>0</v>
      </c>
      <c r="Y302" s="25">
        <f t="shared" si="108"/>
        <v>1265</v>
      </c>
      <c r="Z302" s="25">
        <f t="shared" si="108"/>
        <v>0</v>
      </c>
      <c r="AK302" s="25">
        <f t="shared" si="107"/>
        <v>0</v>
      </c>
      <c r="AM302" s="25">
        <f t="shared" si="105"/>
        <v>0</v>
      </c>
      <c r="BK302" s="1"/>
      <c r="BL302" s="1"/>
      <c r="BP302" s="20">
        <f t="shared" ref="BP302:BP303" si="115">Q302</f>
        <v>1395</v>
      </c>
      <c r="BQ302" s="20">
        <f t="shared" si="110"/>
        <v>0.73514321885082556</v>
      </c>
      <c r="BR302" s="25">
        <f>VLOOKUP(BP302,'Hazard Weighting Functions'!$B$5:$G$1205,4,FALSE)</f>
        <v>0.02</v>
      </c>
      <c r="BS302" s="25">
        <f t="shared" si="112"/>
        <v>1.4702864377016511E-2</v>
      </c>
      <c r="BT302" s="25">
        <f t="shared" si="113"/>
        <v>7.3056140494225999E-2</v>
      </c>
    </row>
    <row r="303" spans="11:72">
      <c r="K303" s="25">
        <v>2370</v>
      </c>
      <c r="L303" s="36"/>
      <c r="Q303" s="20">
        <v>1400</v>
      </c>
      <c r="R303" s="36">
        <v>0.72597959103369447</v>
      </c>
      <c r="V303" s="25">
        <f>K83</f>
        <v>1270</v>
      </c>
      <c r="W303" s="26">
        <f t="shared" si="109"/>
        <v>0</v>
      </c>
      <c r="Y303" s="25">
        <f t="shared" si="108"/>
        <v>1270</v>
      </c>
      <c r="Z303" s="25">
        <f t="shared" si="108"/>
        <v>0</v>
      </c>
      <c r="AK303" s="25">
        <f t="shared" si="107"/>
        <v>0</v>
      </c>
      <c r="AM303" s="25">
        <f t="shared" si="105"/>
        <v>0</v>
      </c>
      <c r="BK303" s="1"/>
      <c r="BL303" s="1"/>
      <c r="BP303" s="20">
        <f t="shared" si="115"/>
        <v>1400</v>
      </c>
      <c r="BQ303" s="20">
        <f t="shared" si="110"/>
        <v>0.72597959103369447</v>
      </c>
      <c r="BR303" s="25">
        <f>VLOOKUP(BP303,'Hazard Weighting Functions'!$B$5:$G$1205,4,FALSE)</f>
        <v>0.02</v>
      </c>
      <c r="BS303" s="25">
        <f t="shared" si="112"/>
        <v>1.451959182067389E-2</v>
      </c>
    </row>
    <row r="304" spans="11:72">
      <c r="K304" s="25">
        <v>2375</v>
      </c>
      <c r="L304" s="36"/>
      <c r="V304" s="25">
        <f>K84</f>
        <v>1275</v>
      </c>
      <c r="W304" s="26">
        <f t="shared" si="109"/>
        <v>0</v>
      </c>
      <c r="Y304" s="25">
        <f t="shared" si="108"/>
        <v>1275</v>
      </c>
      <c r="Z304" s="25">
        <f t="shared" si="108"/>
        <v>0</v>
      </c>
      <c r="AK304" s="25">
        <f t="shared" si="107"/>
        <v>0</v>
      </c>
      <c r="AM304" s="25">
        <f t="shared" si="105"/>
        <v>0</v>
      </c>
      <c r="BK304" s="1"/>
      <c r="BL304" s="1"/>
    </row>
    <row r="305" spans="11:64">
      <c r="K305" s="25">
        <v>2380</v>
      </c>
      <c r="L305" s="36"/>
      <c r="V305" s="25">
        <f>K85</f>
        <v>1280</v>
      </c>
      <c r="W305" s="26">
        <f t="shared" si="109"/>
        <v>0</v>
      </c>
      <c r="Y305" s="25">
        <f t="shared" si="108"/>
        <v>1280</v>
      </c>
      <c r="Z305" s="25">
        <f t="shared" si="108"/>
        <v>0</v>
      </c>
      <c r="AK305" s="25">
        <f t="shared" si="107"/>
        <v>0</v>
      </c>
      <c r="AM305" s="25">
        <f t="shared" si="105"/>
        <v>0</v>
      </c>
      <c r="BK305" s="1"/>
      <c r="BL305" s="1"/>
    </row>
    <row r="306" spans="11:64">
      <c r="K306" s="25">
        <v>2385</v>
      </c>
      <c r="L306" s="36"/>
      <c r="V306" s="25">
        <f>K86</f>
        <v>1285</v>
      </c>
      <c r="W306" s="26">
        <f t="shared" si="109"/>
        <v>0</v>
      </c>
      <c r="Y306" s="25">
        <f t="shared" si="108"/>
        <v>1285</v>
      </c>
      <c r="Z306" s="25">
        <f t="shared" si="108"/>
        <v>0</v>
      </c>
      <c r="AK306" s="25">
        <f t="shared" si="107"/>
        <v>0</v>
      </c>
      <c r="AM306" s="25">
        <f t="shared" si="105"/>
        <v>0</v>
      </c>
      <c r="BK306" s="1"/>
      <c r="BL306" s="1"/>
    </row>
    <row r="307" spans="11:64">
      <c r="K307" s="25">
        <v>2390</v>
      </c>
      <c r="L307" s="36"/>
      <c r="V307" s="25">
        <f>K87</f>
        <v>1290</v>
      </c>
      <c r="W307" s="26">
        <f t="shared" si="109"/>
        <v>0</v>
      </c>
      <c r="Y307" s="25">
        <f t="shared" si="108"/>
        <v>1290</v>
      </c>
      <c r="Z307" s="25">
        <f t="shared" si="108"/>
        <v>0</v>
      </c>
      <c r="AK307" s="25">
        <f t="shared" si="107"/>
        <v>0</v>
      </c>
      <c r="AM307" s="25">
        <f t="shared" si="105"/>
        <v>0</v>
      </c>
      <c r="BK307" s="1"/>
      <c r="BL307" s="1"/>
    </row>
    <row r="308" spans="11:64">
      <c r="K308" s="25">
        <v>2395</v>
      </c>
      <c r="L308" s="36"/>
      <c r="V308" s="25">
        <f>K88</f>
        <v>1295</v>
      </c>
      <c r="W308" s="26">
        <f t="shared" si="109"/>
        <v>0</v>
      </c>
      <c r="Y308" s="25">
        <f t="shared" si="108"/>
        <v>1295</v>
      </c>
      <c r="Z308" s="25">
        <f t="shared" si="108"/>
        <v>0</v>
      </c>
      <c r="AK308" s="25">
        <f t="shared" si="107"/>
        <v>0</v>
      </c>
      <c r="AM308" s="25">
        <f t="shared" si="105"/>
        <v>0</v>
      </c>
      <c r="BK308" s="1"/>
      <c r="BL308" s="1"/>
    </row>
    <row r="309" spans="11:64">
      <c r="K309" s="25">
        <v>2400</v>
      </c>
      <c r="L309" s="36"/>
      <c r="V309" s="25">
        <f>K89</f>
        <v>1300</v>
      </c>
      <c r="W309" s="26">
        <f t="shared" si="109"/>
        <v>0</v>
      </c>
      <c r="Y309" s="25">
        <f t="shared" si="108"/>
        <v>1300</v>
      </c>
      <c r="Z309" s="25">
        <f t="shared" si="108"/>
        <v>0</v>
      </c>
      <c r="AK309" s="25">
        <f t="shared" si="107"/>
        <v>0</v>
      </c>
      <c r="AM309" s="25">
        <f t="shared" si="105"/>
        <v>0</v>
      </c>
      <c r="BK309" s="1"/>
      <c r="BL309" s="1"/>
    </row>
    <row r="310" spans="11:64">
      <c r="K310" s="25">
        <v>2405</v>
      </c>
      <c r="L310" s="36"/>
      <c r="V310" s="25">
        <f>K90</f>
        <v>1305</v>
      </c>
      <c r="W310" s="26">
        <f t="shared" si="109"/>
        <v>0</v>
      </c>
      <c r="Y310" s="25">
        <f t="shared" si="108"/>
        <v>1305</v>
      </c>
      <c r="Z310" s="25">
        <f t="shared" si="108"/>
        <v>0</v>
      </c>
      <c r="AK310" s="25">
        <f t="shared" si="107"/>
        <v>0</v>
      </c>
      <c r="AM310" s="25">
        <f t="shared" si="105"/>
        <v>0</v>
      </c>
      <c r="BK310" s="1"/>
      <c r="BL310" s="1"/>
    </row>
    <row r="311" spans="11:64">
      <c r="K311" s="25">
        <v>2410</v>
      </c>
      <c r="L311" s="36"/>
      <c r="V311" s="25">
        <f>K91</f>
        <v>1310</v>
      </c>
      <c r="W311" s="26">
        <f t="shared" si="109"/>
        <v>0</v>
      </c>
      <c r="Y311" s="25">
        <f t="shared" si="108"/>
        <v>1310</v>
      </c>
      <c r="Z311" s="25">
        <f t="shared" si="108"/>
        <v>0</v>
      </c>
      <c r="AK311" s="25">
        <f t="shared" si="107"/>
        <v>0</v>
      </c>
      <c r="AM311" s="25">
        <f t="shared" si="105"/>
        <v>0</v>
      </c>
      <c r="BK311" s="1"/>
      <c r="BL311" s="1"/>
    </row>
    <row r="312" spans="11:64">
      <c r="K312" s="25">
        <v>2415</v>
      </c>
      <c r="L312" s="36"/>
      <c r="V312" s="25">
        <f>K92</f>
        <v>1315</v>
      </c>
      <c r="W312" s="26">
        <f t="shared" si="109"/>
        <v>0</v>
      </c>
      <c r="Y312" s="25">
        <f t="shared" si="108"/>
        <v>1315</v>
      </c>
      <c r="Z312" s="25">
        <f t="shared" si="108"/>
        <v>0</v>
      </c>
      <c r="AK312" s="25">
        <f t="shared" si="107"/>
        <v>0</v>
      </c>
      <c r="AM312" s="25">
        <f t="shared" ref="AM312:AM375" si="116">0.5*(V313-V312)*(W312+W313)</f>
        <v>0</v>
      </c>
      <c r="BK312" s="1"/>
      <c r="BL312" s="1"/>
    </row>
    <row r="313" spans="11:64">
      <c r="K313" s="25">
        <v>2420</v>
      </c>
      <c r="L313" s="36"/>
      <c r="V313" s="25">
        <f>K93</f>
        <v>1320</v>
      </c>
      <c r="W313" s="26">
        <f t="shared" si="109"/>
        <v>0</v>
      </c>
      <c r="Y313" s="25">
        <f t="shared" si="108"/>
        <v>1320</v>
      </c>
      <c r="Z313" s="25">
        <f t="shared" si="108"/>
        <v>0</v>
      </c>
      <c r="AK313" s="25">
        <f t="shared" si="107"/>
        <v>0</v>
      </c>
      <c r="AM313" s="25">
        <f t="shared" si="116"/>
        <v>0</v>
      </c>
      <c r="BK313" s="1"/>
      <c r="BL313" s="1"/>
    </row>
    <row r="314" spans="11:64">
      <c r="K314" s="25">
        <v>2425</v>
      </c>
      <c r="L314" s="36"/>
      <c r="V314" s="25">
        <f>K94</f>
        <v>1325</v>
      </c>
      <c r="W314" s="26">
        <f t="shared" si="109"/>
        <v>0</v>
      </c>
      <c r="Y314" s="25">
        <f t="shared" si="108"/>
        <v>1325</v>
      </c>
      <c r="Z314" s="25">
        <f t="shared" si="108"/>
        <v>0</v>
      </c>
      <c r="AK314" s="25">
        <f t="shared" si="107"/>
        <v>0</v>
      </c>
      <c r="AM314" s="25">
        <f t="shared" si="116"/>
        <v>0</v>
      </c>
      <c r="BK314" s="1"/>
      <c r="BL314" s="1"/>
    </row>
    <row r="315" spans="11:64">
      <c r="K315" s="25">
        <v>2430</v>
      </c>
      <c r="L315" s="36"/>
      <c r="V315" s="25">
        <f>K95</f>
        <v>1330</v>
      </c>
      <c r="W315" s="26">
        <f t="shared" si="109"/>
        <v>0</v>
      </c>
      <c r="Y315" s="25">
        <f t="shared" si="108"/>
        <v>1330</v>
      </c>
      <c r="Z315" s="25">
        <f t="shared" si="108"/>
        <v>0</v>
      </c>
      <c r="AK315" s="25">
        <f t="shared" si="107"/>
        <v>0</v>
      </c>
      <c r="AM315" s="25">
        <f t="shared" si="116"/>
        <v>0</v>
      </c>
      <c r="BK315" s="1"/>
      <c r="BL315" s="1"/>
    </row>
    <row r="316" spans="11:64">
      <c r="K316" s="25">
        <v>2435</v>
      </c>
      <c r="L316" s="36"/>
      <c r="V316" s="25">
        <f>K96</f>
        <v>1335</v>
      </c>
      <c r="W316" s="26">
        <f t="shared" si="109"/>
        <v>0</v>
      </c>
      <c r="Y316" s="25">
        <f t="shared" si="108"/>
        <v>1335</v>
      </c>
      <c r="Z316" s="25">
        <f t="shared" si="108"/>
        <v>0</v>
      </c>
      <c r="AK316" s="25">
        <f t="shared" si="107"/>
        <v>0</v>
      </c>
      <c r="AM316" s="25">
        <f t="shared" si="116"/>
        <v>0</v>
      </c>
      <c r="BK316" s="1"/>
      <c r="BL316" s="1"/>
    </row>
    <row r="317" spans="11:64">
      <c r="K317" s="25">
        <v>2440</v>
      </c>
      <c r="L317" s="36"/>
      <c r="V317" s="25">
        <f>K97</f>
        <v>1340</v>
      </c>
      <c r="W317" s="26">
        <f t="shared" si="109"/>
        <v>0</v>
      </c>
      <c r="Y317" s="25">
        <f t="shared" si="108"/>
        <v>1340</v>
      </c>
      <c r="Z317" s="25">
        <f t="shared" si="108"/>
        <v>0</v>
      </c>
      <c r="AK317" s="25">
        <f t="shared" si="107"/>
        <v>0</v>
      </c>
      <c r="AM317" s="25">
        <f t="shared" si="116"/>
        <v>0</v>
      </c>
      <c r="BK317" s="1"/>
      <c r="BL317" s="1"/>
    </row>
    <row r="318" spans="11:64">
      <c r="K318" s="25">
        <v>2445</v>
      </c>
      <c r="L318" s="36"/>
      <c r="V318" s="25">
        <f>K98</f>
        <v>1345</v>
      </c>
      <c r="W318" s="26">
        <f t="shared" si="109"/>
        <v>0</v>
      </c>
      <c r="Y318" s="25">
        <f t="shared" si="108"/>
        <v>1345</v>
      </c>
      <c r="Z318" s="25">
        <f t="shared" si="108"/>
        <v>0</v>
      </c>
      <c r="AK318" s="25">
        <f t="shared" si="107"/>
        <v>0</v>
      </c>
      <c r="AM318" s="25">
        <f t="shared" si="116"/>
        <v>0</v>
      </c>
      <c r="BK318" s="1"/>
      <c r="BL318" s="1"/>
    </row>
    <row r="319" spans="11:64">
      <c r="K319" s="25">
        <v>2450</v>
      </c>
      <c r="L319" s="36"/>
      <c r="V319" s="25">
        <f>K99</f>
        <v>1350</v>
      </c>
      <c r="W319" s="26">
        <f t="shared" si="109"/>
        <v>0</v>
      </c>
      <c r="Y319" s="25">
        <f t="shared" si="108"/>
        <v>1350</v>
      </c>
      <c r="Z319" s="25">
        <f t="shared" si="108"/>
        <v>0</v>
      </c>
      <c r="AK319" s="25">
        <f t="shared" si="107"/>
        <v>0</v>
      </c>
      <c r="AM319" s="25">
        <f t="shared" si="116"/>
        <v>0</v>
      </c>
      <c r="BK319" s="1"/>
      <c r="BL319" s="1"/>
    </row>
    <row r="320" spans="11:64">
      <c r="K320" s="25">
        <v>2455</v>
      </c>
      <c r="L320" s="36"/>
      <c r="V320" s="25">
        <f>K100</f>
        <v>1355</v>
      </c>
      <c r="W320" s="26">
        <f t="shared" si="109"/>
        <v>0</v>
      </c>
      <c r="Y320" s="25">
        <f t="shared" si="108"/>
        <v>1355</v>
      </c>
      <c r="Z320" s="25">
        <f t="shared" si="108"/>
        <v>0</v>
      </c>
      <c r="AK320" s="25">
        <f t="shared" si="107"/>
        <v>0</v>
      </c>
      <c r="AM320" s="25">
        <f t="shared" si="116"/>
        <v>0</v>
      </c>
      <c r="BK320" s="1"/>
      <c r="BL320" s="1"/>
    </row>
    <row r="321" spans="11:64">
      <c r="K321" s="25">
        <v>2460</v>
      </c>
      <c r="L321" s="36"/>
      <c r="V321" s="25">
        <f>K101</f>
        <v>1360</v>
      </c>
      <c r="W321" s="26">
        <f t="shared" si="109"/>
        <v>0</v>
      </c>
      <c r="Y321" s="25">
        <f t="shared" si="108"/>
        <v>1360</v>
      </c>
      <c r="Z321" s="25">
        <f t="shared" si="108"/>
        <v>0</v>
      </c>
      <c r="AK321" s="25">
        <f t="shared" si="107"/>
        <v>0</v>
      </c>
      <c r="AM321" s="25">
        <f t="shared" si="116"/>
        <v>0</v>
      </c>
      <c r="BK321" s="1"/>
      <c r="BL321" s="1"/>
    </row>
    <row r="322" spans="11:64">
      <c r="K322" s="25">
        <v>2465</v>
      </c>
      <c r="L322" s="36"/>
      <c r="V322" s="25">
        <f>K102</f>
        <v>1365</v>
      </c>
      <c r="W322" s="26">
        <f t="shared" si="109"/>
        <v>0</v>
      </c>
      <c r="Y322" s="25">
        <f t="shared" si="108"/>
        <v>1365</v>
      </c>
      <c r="Z322" s="25">
        <f t="shared" si="108"/>
        <v>0</v>
      </c>
      <c r="AK322" s="25">
        <f t="shared" si="107"/>
        <v>0</v>
      </c>
      <c r="AM322" s="25">
        <f t="shared" si="116"/>
        <v>0</v>
      </c>
      <c r="BK322" s="1"/>
      <c r="BL322" s="1"/>
    </row>
    <row r="323" spans="11:64">
      <c r="K323" s="25">
        <v>2470</v>
      </c>
      <c r="L323" s="36"/>
      <c r="V323" s="25">
        <f>K103</f>
        <v>1370</v>
      </c>
      <c r="W323" s="26">
        <f t="shared" si="109"/>
        <v>0</v>
      </c>
      <c r="Y323" s="25">
        <f t="shared" si="108"/>
        <v>1370</v>
      </c>
      <c r="Z323" s="25">
        <f t="shared" si="108"/>
        <v>0</v>
      </c>
      <c r="AK323" s="25">
        <f t="shared" si="107"/>
        <v>0</v>
      </c>
      <c r="AM323" s="25">
        <f t="shared" si="116"/>
        <v>0</v>
      </c>
      <c r="BK323" s="1"/>
      <c r="BL323" s="1"/>
    </row>
    <row r="324" spans="11:64">
      <c r="K324" s="25">
        <v>2475</v>
      </c>
      <c r="L324" s="36"/>
      <c r="V324" s="25">
        <f>K104</f>
        <v>1375</v>
      </c>
      <c r="W324" s="26">
        <f t="shared" si="109"/>
        <v>0</v>
      </c>
      <c r="Y324" s="25">
        <f t="shared" si="108"/>
        <v>1375</v>
      </c>
      <c r="Z324" s="25">
        <f t="shared" si="108"/>
        <v>0</v>
      </c>
      <c r="AK324" s="25">
        <f t="shared" si="107"/>
        <v>0</v>
      </c>
      <c r="AM324" s="25">
        <f t="shared" si="116"/>
        <v>0</v>
      </c>
      <c r="BK324" s="1"/>
      <c r="BL324" s="1"/>
    </row>
    <row r="325" spans="11:64">
      <c r="K325" s="25">
        <v>2480</v>
      </c>
      <c r="L325" s="36"/>
      <c r="V325" s="25">
        <f>K105</f>
        <v>1380</v>
      </c>
      <c r="W325" s="26">
        <f t="shared" si="109"/>
        <v>0</v>
      </c>
      <c r="Y325" s="25">
        <f t="shared" si="108"/>
        <v>1380</v>
      </c>
      <c r="Z325" s="25">
        <f t="shared" si="108"/>
        <v>0</v>
      </c>
      <c r="AK325" s="25">
        <f t="shared" si="107"/>
        <v>0</v>
      </c>
      <c r="AM325" s="25">
        <f t="shared" si="116"/>
        <v>0</v>
      </c>
      <c r="BK325" s="1"/>
      <c r="BL325" s="1"/>
    </row>
    <row r="326" spans="11:64">
      <c r="K326" s="25">
        <v>2485</v>
      </c>
      <c r="L326" s="36"/>
      <c r="V326" s="25">
        <f>K106</f>
        <v>1385</v>
      </c>
      <c r="W326" s="26">
        <f t="shared" si="109"/>
        <v>0</v>
      </c>
      <c r="Y326" s="25">
        <f t="shared" si="108"/>
        <v>1385</v>
      </c>
      <c r="Z326" s="25">
        <f t="shared" si="108"/>
        <v>0</v>
      </c>
      <c r="AK326" s="25">
        <f t="shared" si="107"/>
        <v>0</v>
      </c>
      <c r="AM326" s="25">
        <f t="shared" si="116"/>
        <v>0</v>
      </c>
      <c r="BK326" s="1"/>
      <c r="BL326" s="1"/>
    </row>
    <row r="327" spans="11:64">
      <c r="K327" s="25">
        <v>2490</v>
      </c>
      <c r="L327" s="36"/>
      <c r="V327" s="25">
        <f>K107</f>
        <v>1390</v>
      </c>
      <c r="W327" s="26">
        <f t="shared" si="109"/>
        <v>0</v>
      </c>
      <c r="Y327" s="25">
        <f t="shared" si="108"/>
        <v>1390</v>
      </c>
      <c r="Z327" s="25">
        <f t="shared" si="108"/>
        <v>0</v>
      </c>
      <c r="AK327" s="25">
        <f t="shared" si="107"/>
        <v>0</v>
      </c>
      <c r="AM327" s="25">
        <f t="shared" si="116"/>
        <v>0</v>
      </c>
      <c r="BK327" s="1"/>
      <c r="BL327" s="1"/>
    </row>
    <row r="328" spans="11:64">
      <c r="K328" s="25">
        <v>2495</v>
      </c>
      <c r="L328" s="36"/>
      <c r="V328" s="25">
        <f>K108</f>
        <v>1395</v>
      </c>
      <c r="W328" s="26">
        <f t="shared" si="109"/>
        <v>0</v>
      </c>
      <c r="Y328" s="25">
        <f t="shared" si="108"/>
        <v>1395</v>
      </c>
      <c r="Z328" s="25">
        <f t="shared" si="108"/>
        <v>0</v>
      </c>
      <c r="AK328" s="25">
        <f t="shared" si="107"/>
        <v>0</v>
      </c>
      <c r="AM328" s="25">
        <f t="shared" si="116"/>
        <v>0</v>
      </c>
      <c r="BK328" s="1"/>
      <c r="BL328" s="1"/>
    </row>
    <row r="329" spans="11:64">
      <c r="K329" s="25">
        <v>2500</v>
      </c>
      <c r="L329" s="36"/>
      <c r="V329" s="25">
        <f>K109</f>
        <v>1400</v>
      </c>
      <c r="W329" s="26">
        <f t="shared" si="109"/>
        <v>0</v>
      </c>
      <c r="Y329" s="25">
        <f t="shared" si="108"/>
        <v>1400</v>
      </c>
      <c r="Z329" s="25">
        <f t="shared" si="108"/>
        <v>0</v>
      </c>
      <c r="AK329" s="25">
        <f t="shared" si="107"/>
        <v>0</v>
      </c>
      <c r="AM329" s="25">
        <f t="shared" si="116"/>
        <v>0</v>
      </c>
      <c r="BK329" s="1"/>
      <c r="BL329" s="1"/>
    </row>
    <row r="330" spans="11:64">
      <c r="K330" s="25">
        <v>2505</v>
      </c>
      <c r="L330" s="36"/>
      <c r="V330" s="25">
        <f>K110</f>
        <v>1405</v>
      </c>
      <c r="W330" s="26">
        <f t="shared" si="109"/>
        <v>0</v>
      </c>
      <c r="Y330" s="25">
        <f t="shared" si="108"/>
        <v>1405</v>
      </c>
      <c r="Z330" s="25">
        <f t="shared" si="108"/>
        <v>0</v>
      </c>
      <c r="AK330" s="25">
        <f t="shared" si="107"/>
        <v>0</v>
      </c>
      <c r="AM330" s="25">
        <f t="shared" si="116"/>
        <v>0</v>
      </c>
      <c r="BK330" s="1"/>
      <c r="BL330" s="1"/>
    </row>
    <row r="331" spans="11:64">
      <c r="K331" s="25">
        <v>2510</v>
      </c>
      <c r="L331" s="36"/>
      <c r="V331" s="25">
        <f>K111</f>
        <v>1410</v>
      </c>
      <c r="W331" s="26">
        <f t="shared" si="109"/>
        <v>0</v>
      </c>
      <c r="Y331" s="25">
        <f t="shared" si="108"/>
        <v>1410</v>
      </c>
      <c r="Z331" s="25">
        <f t="shared" si="108"/>
        <v>0</v>
      </c>
      <c r="AK331" s="25">
        <f t="shared" si="107"/>
        <v>0</v>
      </c>
      <c r="AM331" s="25">
        <f t="shared" si="116"/>
        <v>0</v>
      </c>
      <c r="BK331" s="1"/>
      <c r="BL331" s="1"/>
    </row>
    <row r="332" spans="11:64">
      <c r="K332" s="25">
        <v>2515</v>
      </c>
      <c r="L332" s="36"/>
      <c r="V332" s="25">
        <f>K112</f>
        <v>1415</v>
      </c>
      <c r="W332" s="26">
        <f t="shared" si="109"/>
        <v>0</v>
      </c>
      <c r="Y332" s="25">
        <f t="shared" si="108"/>
        <v>1415</v>
      </c>
      <c r="Z332" s="25">
        <f t="shared" si="108"/>
        <v>0</v>
      </c>
      <c r="AK332" s="25">
        <f t="shared" si="107"/>
        <v>0</v>
      </c>
      <c r="AM332" s="25">
        <f t="shared" si="116"/>
        <v>0</v>
      </c>
      <c r="BK332" s="1"/>
      <c r="BL332" s="1"/>
    </row>
    <row r="333" spans="11:64">
      <c r="K333" s="25">
        <v>2520</v>
      </c>
      <c r="L333" s="36"/>
      <c r="V333" s="25">
        <f>K113</f>
        <v>1420</v>
      </c>
      <c r="W333" s="26">
        <f t="shared" si="109"/>
        <v>0</v>
      </c>
      <c r="Y333" s="25">
        <f t="shared" si="108"/>
        <v>1420</v>
      </c>
      <c r="Z333" s="25">
        <f t="shared" si="108"/>
        <v>0</v>
      </c>
      <c r="AK333" s="25">
        <f t="shared" ref="AK333:AK396" si="117">0.5*(V334-V333)*(W333+W334)</f>
        <v>0</v>
      </c>
      <c r="AM333" s="25">
        <f t="shared" si="116"/>
        <v>0</v>
      </c>
      <c r="BK333" s="1"/>
      <c r="BL333" s="1"/>
    </row>
    <row r="334" spans="11:64">
      <c r="K334" s="25">
        <v>2525</v>
      </c>
      <c r="L334" s="36"/>
      <c r="V334" s="25">
        <f>K114</f>
        <v>1425</v>
      </c>
      <c r="W334" s="26">
        <f t="shared" si="109"/>
        <v>0</v>
      </c>
      <c r="Y334" s="25">
        <f t="shared" ref="Y334:Z397" si="118">V334</f>
        <v>1425</v>
      </c>
      <c r="Z334" s="25">
        <f t="shared" si="118"/>
        <v>0</v>
      </c>
      <c r="AK334" s="25">
        <f t="shared" si="117"/>
        <v>0</v>
      </c>
      <c r="AM334" s="25">
        <f t="shared" si="116"/>
        <v>0</v>
      </c>
      <c r="BK334" s="1"/>
      <c r="BL334" s="1"/>
    </row>
    <row r="335" spans="11:64">
      <c r="K335" s="25">
        <v>2530</v>
      </c>
      <c r="L335" s="36"/>
      <c r="V335" s="25">
        <f>K115</f>
        <v>1430</v>
      </c>
      <c r="W335" s="26">
        <f t="shared" ref="W335:W398" si="119">IF(L114=0,0,L114/$T$51)</f>
        <v>0</v>
      </c>
      <c r="Y335" s="25">
        <f t="shared" si="118"/>
        <v>1430</v>
      </c>
      <c r="Z335" s="25">
        <f t="shared" si="118"/>
        <v>0</v>
      </c>
      <c r="AK335" s="25">
        <f t="shared" si="117"/>
        <v>0</v>
      </c>
      <c r="AM335" s="25">
        <f t="shared" si="116"/>
        <v>0</v>
      </c>
      <c r="BK335" s="1"/>
      <c r="BL335" s="1"/>
    </row>
    <row r="336" spans="11:64">
      <c r="K336" s="25">
        <v>2535</v>
      </c>
      <c r="L336" s="36"/>
      <c r="V336" s="25">
        <f>K116</f>
        <v>1435</v>
      </c>
      <c r="W336" s="26">
        <f t="shared" si="119"/>
        <v>0</v>
      </c>
      <c r="Y336" s="25">
        <f t="shared" si="118"/>
        <v>1435</v>
      </c>
      <c r="Z336" s="25">
        <f t="shared" si="118"/>
        <v>0</v>
      </c>
      <c r="AK336" s="25">
        <f t="shared" si="117"/>
        <v>0</v>
      </c>
      <c r="AM336" s="25">
        <f t="shared" si="116"/>
        <v>0</v>
      </c>
      <c r="BK336" s="1"/>
      <c r="BL336" s="1"/>
    </row>
    <row r="337" spans="11:64">
      <c r="K337" s="25">
        <v>2540</v>
      </c>
      <c r="L337" s="36"/>
      <c r="V337" s="25">
        <f>K117</f>
        <v>1440</v>
      </c>
      <c r="W337" s="26">
        <f t="shared" si="119"/>
        <v>0</v>
      </c>
      <c r="Y337" s="25">
        <f t="shared" si="118"/>
        <v>1440</v>
      </c>
      <c r="Z337" s="25">
        <f t="shared" si="118"/>
        <v>0</v>
      </c>
      <c r="AK337" s="25">
        <f t="shared" si="117"/>
        <v>0</v>
      </c>
      <c r="AM337" s="25">
        <f t="shared" si="116"/>
        <v>0</v>
      </c>
      <c r="BK337" s="1"/>
      <c r="BL337" s="1"/>
    </row>
    <row r="338" spans="11:64">
      <c r="K338" s="25">
        <v>2545</v>
      </c>
      <c r="L338" s="36"/>
      <c r="V338" s="25">
        <f>K118</f>
        <v>1445</v>
      </c>
      <c r="W338" s="26">
        <f t="shared" si="119"/>
        <v>0</v>
      </c>
      <c r="Y338" s="25">
        <f t="shared" si="118"/>
        <v>1445</v>
      </c>
      <c r="Z338" s="25">
        <f t="shared" si="118"/>
        <v>0</v>
      </c>
      <c r="AK338" s="25">
        <f t="shared" si="117"/>
        <v>0</v>
      </c>
      <c r="AM338" s="25">
        <f t="shared" si="116"/>
        <v>0</v>
      </c>
      <c r="BK338" s="1"/>
      <c r="BL338" s="1"/>
    </row>
    <row r="339" spans="11:64">
      <c r="K339" s="25">
        <v>2550</v>
      </c>
      <c r="L339" s="36"/>
      <c r="V339" s="25">
        <f>K119</f>
        <v>1450</v>
      </c>
      <c r="W339" s="26">
        <f t="shared" si="119"/>
        <v>0</v>
      </c>
      <c r="Y339" s="25">
        <f t="shared" si="118"/>
        <v>1450</v>
      </c>
      <c r="Z339" s="25">
        <f t="shared" si="118"/>
        <v>0</v>
      </c>
      <c r="AK339" s="25">
        <f t="shared" si="117"/>
        <v>0</v>
      </c>
      <c r="AM339" s="25">
        <f t="shared" si="116"/>
        <v>0</v>
      </c>
    </row>
    <row r="340" spans="11:64">
      <c r="K340" s="25">
        <v>2555</v>
      </c>
      <c r="L340" s="36"/>
      <c r="V340" s="25">
        <f>K120</f>
        <v>1455</v>
      </c>
      <c r="W340" s="26">
        <f t="shared" si="119"/>
        <v>0</v>
      </c>
      <c r="Y340" s="25">
        <f t="shared" si="118"/>
        <v>1455</v>
      </c>
      <c r="Z340" s="25">
        <f t="shared" si="118"/>
        <v>0</v>
      </c>
      <c r="AK340" s="25">
        <f t="shared" si="117"/>
        <v>0</v>
      </c>
      <c r="AM340" s="25">
        <f t="shared" si="116"/>
        <v>0</v>
      </c>
    </row>
    <row r="341" spans="11:64">
      <c r="K341" s="25">
        <v>2560</v>
      </c>
      <c r="L341" s="36"/>
      <c r="V341" s="25">
        <f>K121</f>
        <v>1460</v>
      </c>
      <c r="W341" s="26">
        <f t="shared" si="119"/>
        <v>0</v>
      </c>
      <c r="Y341" s="25">
        <f t="shared" si="118"/>
        <v>1460</v>
      </c>
      <c r="Z341" s="25">
        <f t="shared" si="118"/>
        <v>0</v>
      </c>
      <c r="AK341" s="25">
        <f t="shared" si="117"/>
        <v>0</v>
      </c>
      <c r="AM341" s="25">
        <f t="shared" si="116"/>
        <v>0</v>
      </c>
    </row>
    <row r="342" spans="11:64">
      <c r="K342" s="25">
        <v>2565</v>
      </c>
      <c r="L342" s="36"/>
      <c r="V342" s="25">
        <f>K122</f>
        <v>1465</v>
      </c>
      <c r="W342" s="26">
        <f t="shared" si="119"/>
        <v>0</v>
      </c>
      <c r="Y342" s="25">
        <f t="shared" si="118"/>
        <v>1465</v>
      </c>
      <c r="Z342" s="25">
        <f t="shared" si="118"/>
        <v>0</v>
      </c>
      <c r="AK342" s="25">
        <f t="shared" si="117"/>
        <v>0</v>
      </c>
      <c r="AM342" s="25">
        <f t="shared" si="116"/>
        <v>0</v>
      </c>
    </row>
    <row r="343" spans="11:64">
      <c r="K343" s="25">
        <v>2570</v>
      </c>
      <c r="L343" s="36"/>
      <c r="V343" s="25">
        <f>K123</f>
        <v>1470</v>
      </c>
      <c r="W343" s="26">
        <f t="shared" si="119"/>
        <v>0</v>
      </c>
      <c r="Y343" s="25">
        <f t="shared" si="118"/>
        <v>1470</v>
      </c>
      <c r="Z343" s="25">
        <f t="shared" si="118"/>
        <v>0</v>
      </c>
      <c r="AK343" s="25">
        <f t="shared" si="117"/>
        <v>0</v>
      </c>
      <c r="AM343" s="25">
        <f t="shared" si="116"/>
        <v>0</v>
      </c>
    </row>
    <row r="344" spans="11:64">
      <c r="K344" s="25">
        <v>2575</v>
      </c>
      <c r="L344" s="36"/>
      <c r="V344" s="25">
        <f>K124</f>
        <v>1475</v>
      </c>
      <c r="W344" s="26">
        <f t="shared" si="119"/>
        <v>0</v>
      </c>
      <c r="Y344" s="25">
        <f t="shared" si="118"/>
        <v>1475</v>
      </c>
      <c r="Z344" s="25">
        <f t="shared" si="118"/>
        <v>0</v>
      </c>
      <c r="AK344" s="25">
        <f t="shared" si="117"/>
        <v>0</v>
      </c>
      <c r="AM344" s="25">
        <f t="shared" si="116"/>
        <v>0</v>
      </c>
    </row>
    <row r="345" spans="11:64">
      <c r="K345" s="25">
        <v>2580</v>
      </c>
      <c r="L345" s="36"/>
      <c r="V345" s="25">
        <f>K125</f>
        <v>1480</v>
      </c>
      <c r="W345" s="26">
        <f t="shared" si="119"/>
        <v>0</v>
      </c>
      <c r="Y345" s="25">
        <f t="shared" si="118"/>
        <v>1480</v>
      </c>
      <c r="Z345" s="25">
        <f t="shared" si="118"/>
        <v>0</v>
      </c>
      <c r="AK345" s="25">
        <f t="shared" si="117"/>
        <v>0</v>
      </c>
      <c r="AM345" s="25">
        <f t="shared" si="116"/>
        <v>0</v>
      </c>
    </row>
    <row r="346" spans="11:64">
      <c r="K346" s="25">
        <v>2585</v>
      </c>
      <c r="L346" s="36"/>
      <c r="V346" s="25">
        <f>K126</f>
        <v>1485</v>
      </c>
      <c r="W346" s="26">
        <f t="shared" si="119"/>
        <v>0</v>
      </c>
      <c r="Y346" s="25">
        <f t="shared" si="118"/>
        <v>1485</v>
      </c>
      <c r="Z346" s="25">
        <f t="shared" si="118"/>
        <v>0</v>
      </c>
      <c r="AK346" s="25">
        <f t="shared" si="117"/>
        <v>0</v>
      </c>
      <c r="AM346" s="25">
        <f t="shared" si="116"/>
        <v>0</v>
      </c>
    </row>
    <row r="347" spans="11:64">
      <c r="K347" s="25">
        <v>2590</v>
      </c>
      <c r="L347" s="36"/>
      <c r="V347" s="25">
        <f>K127</f>
        <v>1490</v>
      </c>
      <c r="W347" s="26">
        <f t="shared" si="119"/>
        <v>0</v>
      </c>
      <c r="Y347" s="25">
        <f t="shared" si="118"/>
        <v>1490</v>
      </c>
      <c r="Z347" s="25">
        <f t="shared" si="118"/>
        <v>0</v>
      </c>
      <c r="AK347" s="25">
        <f t="shared" si="117"/>
        <v>0</v>
      </c>
      <c r="AM347" s="25">
        <f t="shared" si="116"/>
        <v>0</v>
      </c>
    </row>
    <row r="348" spans="11:64">
      <c r="K348" s="25">
        <v>2595</v>
      </c>
      <c r="L348" s="36"/>
      <c r="V348" s="25">
        <f>K128</f>
        <v>1495</v>
      </c>
      <c r="W348" s="26">
        <f t="shared" si="119"/>
        <v>0</v>
      </c>
      <c r="Y348" s="25">
        <f t="shared" si="118"/>
        <v>1495</v>
      </c>
      <c r="Z348" s="25">
        <f t="shared" si="118"/>
        <v>0</v>
      </c>
      <c r="AK348" s="25">
        <f t="shared" si="117"/>
        <v>0</v>
      </c>
      <c r="AM348" s="25">
        <f t="shared" si="116"/>
        <v>0</v>
      </c>
    </row>
    <row r="349" spans="11:64">
      <c r="K349" s="25">
        <v>2600</v>
      </c>
      <c r="L349" s="36"/>
      <c r="V349" s="25">
        <f>K129</f>
        <v>1500</v>
      </c>
      <c r="W349" s="26">
        <f t="shared" si="119"/>
        <v>0</v>
      </c>
      <c r="Y349" s="25">
        <f t="shared" si="118"/>
        <v>1500</v>
      </c>
      <c r="Z349" s="25">
        <f t="shared" si="118"/>
        <v>0</v>
      </c>
      <c r="AK349" s="25">
        <f t="shared" si="117"/>
        <v>0</v>
      </c>
      <c r="AM349" s="25">
        <f t="shared" si="116"/>
        <v>0</v>
      </c>
    </row>
    <row r="350" spans="11:64">
      <c r="K350" s="25">
        <v>2605</v>
      </c>
      <c r="L350" s="36"/>
      <c r="V350" s="25">
        <f>K130</f>
        <v>1505</v>
      </c>
      <c r="W350" s="26">
        <f t="shared" si="119"/>
        <v>0</v>
      </c>
      <c r="Y350" s="25">
        <f t="shared" si="118"/>
        <v>1505</v>
      </c>
      <c r="Z350" s="25">
        <f t="shared" si="118"/>
        <v>0</v>
      </c>
      <c r="AK350" s="25">
        <f t="shared" si="117"/>
        <v>0</v>
      </c>
      <c r="AM350" s="25">
        <f t="shared" si="116"/>
        <v>0</v>
      </c>
    </row>
    <row r="351" spans="11:64">
      <c r="K351" s="25">
        <v>2610</v>
      </c>
      <c r="L351" s="36"/>
      <c r="V351" s="25">
        <f>K131</f>
        <v>1510</v>
      </c>
      <c r="W351" s="26">
        <f t="shared" si="119"/>
        <v>0</v>
      </c>
      <c r="Y351" s="25">
        <f t="shared" si="118"/>
        <v>1510</v>
      </c>
      <c r="Z351" s="25">
        <f t="shared" si="118"/>
        <v>0</v>
      </c>
      <c r="AK351" s="25">
        <f t="shared" si="117"/>
        <v>0</v>
      </c>
      <c r="AM351" s="25">
        <f t="shared" si="116"/>
        <v>0</v>
      </c>
    </row>
    <row r="352" spans="11:64">
      <c r="K352" s="25">
        <v>2615</v>
      </c>
      <c r="L352" s="36"/>
      <c r="V352" s="25">
        <f>K132</f>
        <v>1515</v>
      </c>
      <c r="W352" s="26">
        <f t="shared" si="119"/>
        <v>0</v>
      </c>
      <c r="Y352" s="25">
        <f t="shared" si="118"/>
        <v>1515</v>
      </c>
      <c r="Z352" s="25">
        <f t="shared" si="118"/>
        <v>0</v>
      </c>
      <c r="AK352" s="25">
        <f t="shared" si="117"/>
        <v>0</v>
      </c>
      <c r="AM352" s="25">
        <f t="shared" si="116"/>
        <v>0</v>
      </c>
    </row>
    <row r="353" spans="11:39">
      <c r="K353" s="25">
        <v>2620</v>
      </c>
      <c r="L353" s="36"/>
      <c r="V353" s="25">
        <f>K133</f>
        <v>1520</v>
      </c>
      <c r="W353" s="26">
        <f t="shared" si="119"/>
        <v>0</v>
      </c>
      <c r="Y353" s="25">
        <f t="shared" si="118"/>
        <v>1520</v>
      </c>
      <c r="Z353" s="25">
        <f t="shared" si="118"/>
        <v>0</v>
      </c>
      <c r="AK353" s="25">
        <f t="shared" si="117"/>
        <v>0</v>
      </c>
      <c r="AM353" s="25">
        <f t="shared" si="116"/>
        <v>0</v>
      </c>
    </row>
    <row r="354" spans="11:39">
      <c r="K354" s="25">
        <v>2625</v>
      </c>
      <c r="L354" s="36"/>
      <c r="V354" s="25">
        <f>K134</f>
        <v>1525</v>
      </c>
      <c r="W354" s="26">
        <f t="shared" si="119"/>
        <v>0</v>
      </c>
      <c r="Y354" s="25">
        <f t="shared" si="118"/>
        <v>1525</v>
      </c>
      <c r="Z354" s="25">
        <f t="shared" si="118"/>
        <v>0</v>
      </c>
      <c r="AK354" s="25">
        <f t="shared" si="117"/>
        <v>0</v>
      </c>
      <c r="AM354" s="25">
        <f t="shared" si="116"/>
        <v>0</v>
      </c>
    </row>
    <row r="355" spans="11:39">
      <c r="K355" s="25">
        <v>2630</v>
      </c>
      <c r="L355" s="36"/>
      <c r="V355" s="25">
        <f>K135</f>
        <v>1530</v>
      </c>
      <c r="W355" s="26">
        <f t="shared" si="119"/>
        <v>0</v>
      </c>
      <c r="Y355" s="25">
        <f t="shared" si="118"/>
        <v>1530</v>
      </c>
      <c r="Z355" s="25">
        <f t="shared" si="118"/>
        <v>0</v>
      </c>
      <c r="AK355" s="25">
        <f t="shared" si="117"/>
        <v>0</v>
      </c>
      <c r="AM355" s="25">
        <f t="shared" si="116"/>
        <v>0</v>
      </c>
    </row>
    <row r="356" spans="11:39">
      <c r="K356" s="25">
        <v>2635</v>
      </c>
      <c r="L356" s="36"/>
      <c r="V356" s="25">
        <f>K136</f>
        <v>1535</v>
      </c>
      <c r="W356" s="26">
        <f t="shared" si="119"/>
        <v>0</v>
      </c>
      <c r="Y356" s="25">
        <f t="shared" si="118"/>
        <v>1535</v>
      </c>
      <c r="Z356" s="25">
        <f t="shared" si="118"/>
        <v>0</v>
      </c>
      <c r="AK356" s="25">
        <f t="shared" si="117"/>
        <v>0</v>
      </c>
      <c r="AM356" s="25">
        <f t="shared" si="116"/>
        <v>0</v>
      </c>
    </row>
    <row r="357" spans="11:39">
      <c r="K357" s="25">
        <v>2640</v>
      </c>
      <c r="L357" s="36"/>
      <c r="V357" s="25">
        <f>K137</f>
        <v>1540</v>
      </c>
      <c r="W357" s="26">
        <f t="shared" si="119"/>
        <v>0</v>
      </c>
      <c r="Y357" s="25">
        <f t="shared" si="118"/>
        <v>1540</v>
      </c>
      <c r="Z357" s="25">
        <f t="shared" si="118"/>
        <v>0</v>
      </c>
      <c r="AK357" s="25">
        <f t="shared" si="117"/>
        <v>0</v>
      </c>
      <c r="AM357" s="25">
        <f t="shared" si="116"/>
        <v>0</v>
      </c>
    </row>
    <row r="358" spans="11:39">
      <c r="K358" s="25">
        <v>2645</v>
      </c>
      <c r="L358" s="36"/>
      <c r="V358" s="25">
        <f>K138</f>
        <v>1545</v>
      </c>
      <c r="W358" s="26">
        <f t="shared" si="119"/>
        <v>0</v>
      </c>
      <c r="Y358" s="25">
        <f t="shared" si="118"/>
        <v>1545</v>
      </c>
      <c r="Z358" s="25">
        <f t="shared" si="118"/>
        <v>0</v>
      </c>
      <c r="AK358" s="25">
        <f t="shared" si="117"/>
        <v>0</v>
      </c>
      <c r="AM358" s="25">
        <f t="shared" si="116"/>
        <v>0</v>
      </c>
    </row>
    <row r="359" spans="11:39">
      <c r="K359" s="25">
        <v>2650</v>
      </c>
      <c r="L359" s="36"/>
      <c r="V359" s="25">
        <f>K139</f>
        <v>1550</v>
      </c>
      <c r="W359" s="26">
        <f t="shared" si="119"/>
        <v>0</v>
      </c>
      <c r="Y359" s="25">
        <f t="shared" si="118"/>
        <v>1550</v>
      </c>
      <c r="Z359" s="25">
        <f t="shared" si="118"/>
        <v>0</v>
      </c>
      <c r="AK359" s="25">
        <f t="shared" si="117"/>
        <v>0</v>
      </c>
      <c r="AM359" s="25">
        <f t="shared" si="116"/>
        <v>0</v>
      </c>
    </row>
    <row r="360" spans="11:39">
      <c r="K360" s="25">
        <v>2655</v>
      </c>
      <c r="L360" s="36"/>
      <c r="V360" s="25">
        <f>K140</f>
        <v>1555</v>
      </c>
      <c r="W360" s="26">
        <f t="shared" si="119"/>
        <v>0</v>
      </c>
      <c r="Y360" s="25">
        <f t="shared" si="118"/>
        <v>1555</v>
      </c>
      <c r="Z360" s="25">
        <f t="shared" si="118"/>
        <v>0</v>
      </c>
      <c r="AK360" s="25">
        <f t="shared" si="117"/>
        <v>0</v>
      </c>
      <c r="AM360" s="25">
        <f t="shared" si="116"/>
        <v>0</v>
      </c>
    </row>
    <row r="361" spans="11:39">
      <c r="K361" s="25">
        <v>2660</v>
      </c>
      <c r="L361" s="36"/>
      <c r="V361" s="25">
        <f>K141</f>
        <v>1560</v>
      </c>
      <c r="W361" s="26">
        <f t="shared" si="119"/>
        <v>0</v>
      </c>
      <c r="Y361" s="25">
        <f t="shared" si="118"/>
        <v>1560</v>
      </c>
      <c r="Z361" s="25">
        <f t="shared" si="118"/>
        <v>0</v>
      </c>
      <c r="AK361" s="25">
        <f t="shared" si="117"/>
        <v>0</v>
      </c>
      <c r="AM361" s="25">
        <f t="shared" si="116"/>
        <v>0</v>
      </c>
    </row>
    <row r="362" spans="11:39">
      <c r="K362" s="25">
        <v>2665</v>
      </c>
      <c r="L362" s="36"/>
      <c r="V362" s="25">
        <f>K142</f>
        <v>1565</v>
      </c>
      <c r="W362" s="26">
        <f t="shared" si="119"/>
        <v>0</v>
      </c>
      <c r="Y362" s="25">
        <f t="shared" si="118"/>
        <v>1565</v>
      </c>
      <c r="Z362" s="25">
        <f t="shared" si="118"/>
        <v>0</v>
      </c>
      <c r="AK362" s="25">
        <f t="shared" si="117"/>
        <v>0</v>
      </c>
      <c r="AM362" s="25">
        <f t="shared" si="116"/>
        <v>0</v>
      </c>
    </row>
    <row r="363" spans="11:39">
      <c r="K363" s="25">
        <v>2670</v>
      </c>
      <c r="L363" s="36"/>
      <c r="V363" s="25">
        <f>K143</f>
        <v>1570</v>
      </c>
      <c r="W363" s="26">
        <f t="shared" si="119"/>
        <v>0</v>
      </c>
      <c r="Y363" s="25">
        <f t="shared" si="118"/>
        <v>1570</v>
      </c>
      <c r="Z363" s="25">
        <f t="shared" si="118"/>
        <v>0</v>
      </c>
      <c r="AK363" s="25">
        <f t="shared" si="117"/>
        <v>0</v>
      </c>
      <c r="AM363" s="25">
        <f t="shared" si="116"/>
        <v>0</v>
      </c>
    </row>
    <row r="364" spans="11:39">
      <c r="K364" s="25">
        <v>2675</v>
      </c>
      <c r="L364" s="36"/>
      <c r="V364" s="25">
        <f>K144</f>
        <v>1575</v>
      </c>
      <c r="W364" s="26">
        <f t="shared" si="119"/>
        <v>0</v>
      </c>
      <c r="Y364" s="25">
        <f t="shared" si="118"/>
        <v>1575</v>
      </c>
      <c r="Z364" s="25">
        <f t="shared" si="118"/>
        <v>0</v>
      </c>
      <c r="AK364" s="25">
        <f t="shared" si="117"/>
        <v>0</v>
      </c>
      <c r="AM364" s="25">
        <f t="shared" si="116"/>
        <v>0</v>
      </c>
    </row>
    <row r="365" spans="11:39">
      <c r="K365" s="25">
        <v>2680</v>
      </c>
      <c r="L365" s="36"/>
      <c r="V365" s="25">
        <f>K145</f>
        <v>1580</v>
      </c>
      <c r="W365" s="26">
        <f t="shared" si="119"/>
        <v>0</v>
      </c>
      <c r="Y365" s="25">
        <f t="shared" si="118"/>
        <v>1580</v>
      </c>
      <c r="Z365" s="25">
        <f t="shared" si="118"/>
        <v>0</v>
      </c>
      <c r="AK365" s="25">
        <f t="shared" si="117"/>
        <v>0</v>
      </c>
      <c r="AM365" s="25">
        <f t="shared" si="116"/>
        <v>0</v>
      </c>
    </row>
    <row r="366" spans="11:39">
      <c r="K366" s="25">
        <v>2685</v>
      </c>
      <c r="L366" s="36"/>
      <c r="V366" s="25">
        <f>K146</f>
        <v>1585</v>
      </c>
      <c r="W366" s="26">
        <f t="shared" si="119"/>
        <v>0</v>
      </c>
      <c r="Y366" s="25">
        <f t="shared" si="118"/>
        <v>1585</v>
      </c>
      <c r="Z366" s="25">
        <f t="shared" si="118"/>
        <v>0</v>
      </c>
      <c r="AK366" s="25">
        <f t="shared" si="117"/>
        <v>0</v>
      </c>
      <c r="AM366" s="25">
        <f t="shared" si="116"/>
        <v>0</v>
      </c>
    </row>
    <row r="367" spans="11:39">
      <c r="K367" s="25">
        <v>2690</v>
      </c>
      <c r="L367" s="36"/>
      <c r="V367" s="25">
        <f>K147</f>
        <v>1590</v>
      </c>
      <c r="W367" s="26">
        <f t="shared" si="119"/>
        <v>0</v>
      </c>
      <c r="Y367" s="25">
        <f t="shared" si="118"/>
        <v>1590</v>
      </c>
      <c r="Z367" s="25">
        <f t="shared" si="118"/>
        <v>0</v>
      </c>
      <c r="AK367" s="25">
        <f t="shared" si="117"/>
        <v>0</v>
      </c>
      <c r="AM367" s="25">
        <f t="shared" si="116"/>
        <v>0</v>
      </c>
    </row>
    <row r="368" spans="11:39">
      <c r="K368" s="25">
        <v>2695</v>
      </c>
      <c r="L368" s="36"/>
      <c r="V368" s="25">
        <f>K148</f>
        <v>1595</v>
      </c>
      <c r="W368" s="26">
        <f t="shared" si="119"/>
        <v>0</v>
      </c>
      <c r="Y368" s="25">
        <f t="shared" si="118"/>
        <v>1595</v>
      </c>
      <c r="Z368" s="25">
        <f t="shared" si="118"/>
        <v>0</v>
      </c>
      <c r="AK368" s="25">
        <f t="shared" si="117"/>
        <v>0</v>
      </c>
      <c r="AM368" s="25">
        <f t="shared" si="116"/>
        <v>0</v>
      </c>
    </row>
    <row r="369" spans="11:39">
      <c r="K369" s="25">
        <v>2700</v>
      </c>
      <c r="L369" s="36"/>
      <c r="V369" s="25">
        <f>K149</f>
        <v>1600</v>
      </c>
      <c r="W369" s="26">
        <f t="shared" si="119"/>
        <v>0</v>
      </c>
      <c r="Y369" s="25">
        <f t="shared" si="118"/>
        <v>1600</v>
      </c>
      <c r="Z369" s="25">
        <f t="shared" si="118"/>
        <v>0</v>
      </c>
      <c r="AK369" s="25">
        <f t="shared" si="117"/>
        <v>0</v>
      </c>
      <c r="AM369" s="25">
        <f t="shared" si="116"/>
        <v>0</v>
      </c>
    </row>
    <row r="370" spans="11:39">
      <c r="K370" s="25">
        <v>2705</v>
      </c>
      <c r="L370" s="36"/>
      <c r="V370" s="25">
        <f>K150</f>
        <v>1605</v>
      </c>
      <c r="W370" s="26">
        <f t="shared" si="119"/>
        <v>0</v>
      </c>
      <c r="Y370" s="25">
        <f t="shared" si="118"/>
        <v>1605</v>
      </c>
      <c r="Z370" s="25">
        <f t="shared" si="118"/>
        <v>0</v>
      </c>
      <c r="AK370" s="25">
        <f t="shared" si="117"/>
        <v>0</v>
      </c>
      <c r="AM370" s="25">
        <f t="shared" si="116"/>
        <v>0</v>
      </c>
    </row>
    <row r="371" spans="11:39">
      <c r="K371" s="25">
        <v>2710</v>
      </c>
      <c r="L371" s="36"/>
      <c r="V371" s="25">
        <f>K151</f>
        <v>1610</v>
      </c>
      <c r="W371" s="26">
        <f t="shared" si="119"/>
        <v>0</v>
      </c>
      <c r="Y371" s="25">
        <f t="shared" si="118"/>
        <v>1610</v>
      </c>
      <c r="Z371" s="25">
        <f t="shared" si="118"/>
        <v>0</v>
      </c>
      <c r="AK371" s="25">
        <f t="shared" si="117"/>
        <v>0</v>
      </c>
      <c r="AM371" s="25">
        <f t="shared" si="116"/>
        <v>0</v>
      </c>
    </row>
    <row r="372" spans="11:39">
      <c r="K372" s="25">
        <v>2715</v>
      </c>
      <c r="L372" s="36"/>
      <c r="V372" s="25">
        <f>K152</f>
        <v>1615</v>
      </c>
      <c r="W372" s="26">
        <f t="shared" si="119"/>
        <v>0</v>
      </c>
      <c r="Y372" s="25">
        <f t="shared" si="118"/>
        <v>1615</v>
      </c>
      <c r="Z372" s="25">
        <f t="shared" si="118"/>
        <v>0</v>
      </c>
      <c r="AK372" s="25">
        <f t="shared" si="117"/>
        <v>0</v>
      </c>
      <c r="AM372" s="25">
        <f t="shared" si="116"/>
        <v>0</v>
      </c>
    </row>
    <row r="373" spans="11:39">
      <c r="K373" s="25">
        <v>2720</v>
      </c>
      <c r="L373" s="36"/>
      <c r="V373" s="25">
        <f>K153</f>
        <v>1620</v>
      </c>
      <c r="W373" s="26">
        <f t="shared" si="119"/>
        <v>0</v>
      </c>
      <c r="Y373" s="25">
        <f t="shared" si="118"/>
        <v>1620</v>
      </c>
      <c r="Z373" s="25">
        <f t="shared" si="118"/>
        <v>0</v>
      </c>
      <c r="AK373" s="25">
        <f t="shared" si="117"/>
        <v>0</v>
      </c>
      <c r="AM373" s="25">
        <f t="shared" si="116"/>
        <v>0</v>
      </c>
    </row>
    <row r="374" spans="11:39">
      <c r="K374" s="25">
        <v>2725</v>
      </c>
      <c r="L374" s="36"/>
      <c r="V374" s="25">
        <f>K154</f>
        <v>1625</v>
      </c>
      <c r="W374" s="26">
        <f t="shared" si="119"/>
        <v>0</v>
      </c>
      <c r="Y374" s="25">
        <f t="shared" si="118"/>
        <v>1625</v>
      </c>
      <c r="Z374" s="25">
        <f t="shared" si="118"/>
        <v>0</v>
      </c>
      <c r="AK374" s="25">
        <f t="shared" si="117"/>
        <v>0</v>
      </c>
      <c r="AM374" s="25">
        <f t="shared" si="116"/>
        <v>0</v>
      </c>
    </row>
    <row r="375" spans="11:39">
      <c r="K375" s="25">
        <v>2730</v>
      </c>
      <c r="L375" s="36"/>
      <c r="V375" s="25">
        <f>K155</f>
        <v>1630</v>
      </c>
      <c r="W375" s="26">
        <f t="shared" si="119"/>
        <v>0</v>
      </c>
      <c r="Y375" s="25">
        <f t="shared" si="118"/>
        <v>1630</v>
      </c>
      <c r="Z375" s="25">
        <f t="shared" si="118"/>
        <v>0</v>
      </c>
      <c r="AK375" s="25">
        <f t="shared" si="117"/>
        <v>0</v>
      </c>
      <c r="AM375" s="25">
        <f t="shared" si="116"/>
        <v>0</v>
      </c>
    </row>
    <row r="376" spans="11:39">
      <c r="K376" s="25">
        <v>2735</v>
      </c>
      <c r="L376" s="36"/>
      <c r="V376" s="25">
        <f>K156</f>
        <v>1635</v>
      </c>
      <c r="W376" s="26">
        <f t="shared" si="119"/>
        <v>0</v>
      </c>
      <c r="Y376" s="25">
        <f t="shared" si="118"/>
        <v>1635</v>
      </c>
      <c r="Z376" s="25">
        <f t="shared" si="118"/>
        <v>0</v>
      </c>
      <c r="AK376" s="25">
        <f t="shared" si="117"/>
        <v>0</v>
      </c>
      <c r="AM376" s="25">
        <f t="shared" ref="AM376:AM439" si="120">0.5*(V377-V376)*(W376+W377)</f>
        <v>0</v>
      </c>
    </row>
    <row r="377" spans="11:39">
      <c r="K377" s="25">
        <v>2740</v>
      </c>
      <c r="L377" s="36"/>
      <c r="V377" s="25">
        <f>K157</f>
        <v>1640</v>
      </c>
      <c r="W377" s="26">
        <f t="shared" si="119"/>
        <v>0</v>
      </c>
      <c r="Y377" s="25">
        <f t="shared" si="118"/>
        <v>1640</v>
      </c>
      <c r="Z377" s="25">
        <f t="shared" si="118"/>
        <v>0</v>
      </c>
      <c r="AK377" s="25">
        <f t="shared" si="117"/>
        <v>0</v>
      </c>
      <c r="AM377" s="25">
        <f t="shared" si="120"/>
        <v>0</v>
      </c>
    </row>
    <row r="378" spans="11:39">
      <c r="K378" s="25">
        <v>2745</v>
      </c>
      <c r="L378" s="36"/>
      <c r="V378" s="25">
        <f>K158</f>
        <v>1645</v>
      </c>
      <c r="W378" s="26">
        <f t="shared" si="119"/>
        <v>0</v>
      </c>
      <c r="Y378" s="25">
        <f t="shared" si="118"/>
        <v>1645</v>
      </c>
      <c r="Z378" s="25">
        <f t="shared" si="118"/>
        <v>0</v>
      </c>
      <c r="AK378" s="25">
        <f t="shared" si="117"/>
        <v>0</v>
      </c>
      <c r="AM378" s="25">
        <f t="shared" si="120"/>
        <v>0</v>
      </c>
    </row>
    <row r="379" spans="11:39">
      <c r="K379" s="25">
        <v>2750</v>
      </c>
      <c r="L379" s="36"/>
      <c r="V379" s="25">
        <f>K159</f>
        <v>1650</v>
      </c>
      <c r="W379" s="26">
        <f t="shared" si="119"/>
        <v>0</v>
      </c>
      <c r="Y379" s="25">
        <f t="shared" si="118"/>
        <v>1650</v>
      </c>
      <c r="Z379" s="25">
        <f t="shared" si="118"/>
        <v>0</v>
      </c>
      <c r="AK379" s="25">
        <f t="shared" si="117"/>
        <v>0</v>
      </c>
      <c r="AM379" s="25">
        <f t="shared" si="120"/>
        <v>0</v>
      </c>
    </row>
    <row r="380" spans="11:39">
      <c r="K380" s="25">
        <v>2755</v>
      </c>
      <c r="L380" s="36"/>
      <c r="V380" s="25">
        <f>K160</f>
        <v>1655</v>
      </c>
      <c r="W380" s="26">
        <f t="shared" si="119"/>
        <v>0</v>
      </c>
      <c r="Y380" s="25">
        <f t="shared" si="118"/>
        <v>1655</v>
      </c>
      <c r="Z380" s="25">
        <f t="shared" si="118"/>
        <v>0</v>
      </c>
      <c r="AK380" s="25">
        <f t="shared" si="117"/>
        <v>0</v>
      </c>
      <c r="AM380" s="25">
        <f t="shared" si="120"/>
        <v>0</v>
      </c>
    </row>
    <row r="381" spans="11:39">
      <c r="K381" s="25">
        <v>2760</v>
      </c>
      <c r="L381" s="36"/>
      <c r="V381" s="25">
        <f>K161</f>
        <v>1660</v>
      </c>
      <c r="W381" s="26">
        <f t="shared" si="119"/>
        <v>0</v>
      </c>
      <c r="Y381" s="25">
        <f t="shared" si="118"/>
        <v>1660</v>
      </c>
      <c r="Z381" s="25">
        <f t="shared" si="118"/>
        <v>0</v>
      </c>
      <c r="AK381" s="25">
        <f t="shared" si="117"/>
        <v>0</v>
      </c>
      <c r="AM381" s="25">
        <f t="shared" si="120"/>
        <v>0</v>
      </c>
    </row>
    <row r="382" spans="11:39">
      <c r="K382" s="25">
        <v>2765</v>
      </c>
      <c r="L382" s="36"/>
      <c r="V382" s="25">
        <f>K162</f>
        <v>1665</v>
      </c>
      <c r="W382" s="26">
        <f t="shared" si="119"/>
        <v>0</v>
      </c>
      <c r="Y382" s="25">
        <f t="shared" si="118"/>
        <v>1665</v>
      </c>
      <c r="Z382" s="25">
        <f t="shared" si="118"/>
        <v>0</v>
      </c>
      <c r="AK382" s="25">
        <f t="shared" si="117"/>
        <v>0</v>
      </c>
      <c r="AM382" s="25">
        <f t="shared" si="120"/>
        <v>0</v>
      </c>
    </row>
    <row r="383" spans="11:39">
      <c r="K383" s="25">
        <v>2770</v>
      </c>
      <c r="L383" s="36"/>
      <c r="V383" s="25">
        <f>K163</f>
        <v>1670</v>
      </c>
      <c r="W383" s="26">
        <f t="shared" si="119"/>
        <v>0</v>
      </c>
      <c r="Y383" s="25">
        <f t="shared" si="118"/>
        <v>1670</v>
      </c>
      <c r="Z383" s="25">
        <f t="shared" si="118"/>
        <v>0</v>
      </c>
      <c r="AK383" s="25">
        <f t="shared" si="117"/>
        <v>0</v>
      </c>
      <c r="AM383" s="25">
        <f t="shared" si="120"/>
        <v>0</v>
      </c>
    </row>
    <row r="384" spans="11:39">
      <c r="K384" s="25">
        <v>2775</v>
      </c>
      <c r="L384" s="36"/>
      <c r="V384" s="25">
        <f>K164</f>
        <v>1675</v>
      </c>
      <c r="W384" s="26">
        <f t="shared" si="119"/>
        <v>0</v>
      </c>
      <c r="Y384" s="25">
        <f t="shared" si="118"/>
        <v>1675</v>
      </c>
      <c r="Z384" s="25">
        <f t="shared" si="118"/>
        <v>0</v>
      </c>
      <c r="AK384" s="25">
        <f t="shared" si="117"/>
        <v>0</v>
      </c>
      <c r="AM384" s="25">
        <f t="shared" si="120"/>
        <v>0</v>
      </c>
    </row>
    <row r="385" spans="11:39">
      <c r="K385" s="25">
        <v>2780</v>
      </c>
      <c r="L385" s="36"/>
      <c r="V385" s="25">
        <f>K165</f>
        <v>1680</v>
      </c>
      <c r="W385" s="26">
        <f t="shared" si="119"/>
        <v>0</v>
      </c>
      <c r="Y385" s="25">
        <f t="shared" si="118"/>
        <v>1680</v>
      </c>
      <c r="Z385" s="25">
        <f t="shared" si="118"/>
        <v>0</v>
      </c>
      <c r="AK385" s="25">
        <f t="shared" si="117"/>
        <v>0</v>
      </c>
      <c r="AM385" s="25">
        <f t="shared" si="120"/>
        <v>0</v>
      </c>
    </row>
    <row r="386" spans="11:39">
      <c r="K386" s="25">
        <v>2785</v>
      </c>
      <c r="L386" s="36"/>
      <c r="V386" s="25">
        <f>K166</f>
        <v>1685</v>
      </c>
      <c r="W386" s="26">
        <f t="shared" si="119"/>
        <v>0</v>
      </c>
      <c r="Y386" s="25">
        <f t="shared" si="118"/>
        <v>1685</v>
      </c>
      <c r="Z386" s="25">
        <f t="shared" si="118"/>
        <v>0</v>
      </c>
      <c r="AK386" s="25">
        <f t="shared" si="117"/>
        <v>0</v>
      </c>
      <c r="AM386" s="25">
        <f t="shared" si="120"/>
        <v>0</v>
      </c>
    </row>
    <row r="387" spans="11:39">
      <c r="K387" s="25">
        <v>2790</v>
      </c>
      <c r="L387" s="36"/>
      <c r="V387" s="25">
        <f>K167</f>
        <v>1690</v>
      </c>
      <c r="W387" s="26">
        <f t="shared" si="119"/>
        <v>0</v>
      </c>
      <c r="Y387" s="25">
        <f t="shared" si="118"/>
        <v>1690</v>
      </c>
      <c r="Z387" s="25">
        <f t="shared" si="118"/>
        <v>0</v>
      </c>
      <c r="AK387" s="25">
        <f t="shared" si="117"/>
        <v>0</v>
      </c>
      <c r="AM387" s="25">
        <f t="shared" si="120"/>
        <v>0</v>
      </c>
    </row>
    <row r="388" spans="11:39">
      <c r="K388" s="25">
        <v>2795</v>
      </c>
      <c r="L388" s="36"/>
      <c r="V388" s="25">
        <f>K168</f>
        <v>1695</v>
      </c>
      <c r="W388" s="26">
        <f t="shared" si="119"/>
        <v>0</v>
      </c>
      <c r="Y388" s="25">
        <f t="shared" si="118"/>
        <v>1695</v>
      </c>
      <c r="Z388" s="25">
        <f t="shared" si="118"/>
        <v>0</v>
      </c>
      <c r="AK388" s="25">
        <f t="shared" si="117"/>
        <v>0</v>
      </c>
      <c r="AM388" s="25">
        <f t="shared" si="120"/>
        <v>0</v>
      </c>
    </row>
    <row r="389" spans="11:39">
      <c r="K389" s="25">
        <v>2800</v>
      </c>
      <c r="L389" s="36"/>
      <c r="V389" s="25">
        <f>K169</f>
        <v>1700</v>
      </c>
      <c r="W389" s="26">
        <f t="shared" si="119"/>
        <v>0</v>
      </c>
      <c r="Y389" s="25">
        <f t="shared" si="118"/>
        <v>1700</v>
      </c>
      <c r="Z389" s="25">
        <f t="shared" si="118"/>
        <v>0</v>
      </c>
      <c r="AK389" s="25">
        <f t="shared" si="117"/>
        <v>0</v>
      </c>
      <c r="AM389" s="25">
        <f t="shared" si="120"/>
        <v>0</v>
      </c>
    </row>
    <row r="390" spans="11:39">
      <c r="K390" s="25">
        <v>2805</v>
      </c>
      <c r="L390" s="36"/>
      <c r="V390" s="25">
        <f>K170</f>
        <v>1705</v>
      </c>
      <c r="W390" s="26">
        <f t="shared" si="119"/>
        <v>0</v>
      </c>
      <c r="Y390" s="25">
        <f t="shared" si="118"/>
        <v>1705</v>
      </c>
      <c r="Z390" s="25">
        <f t="shared" si="118"/>
        <v>0</v>
      </c>
      <c r="AK390" s="25">
        <f t="shared" si="117"/>
        <v>0</v>
      </c>
      <c r="AM390" s="25">
        <f t="shared" si="120"/>
        <v>0</v>
      </c>
    </row>
    <row r="391" spans="11:39">
      <c r="K391" s="25">
        <v>2810</v>
      </c>
      <c r="L391" s="36"/>
      <c r="V391" s="25">
        <f>K171</f>
        <v>1710</v>
      </c>
      <c r="W391" s="26">
        <f t="shared" si="119"/>
        <v>0</v>
      </c>
      <c r="Y391" s="25">
        <f t="shared" si="118"/>
        <v>1710</v>
      </c>
      <c r="Z391" s="25">
        <f t="shared" si="118"/>
        <v>0</v>
      </c>
      <c r="AK391" s="25">
        <f t="shared" si="117"/>
        <v>0</v>
      </c>
      <c r="AM391" s="25">
        <f t="shared" si="120"/>
        <v>0</v>
      </c>
    </row>
    <row r="392" spans="11:39">
      <c r="K392" s="25">
        <v>2815</v>
      </c>
      <c r="L392" s="36"/>
      <c r="V392" s="25">
        <f>K172</f>
        <v>1715</v>
      </c>
      <c r="W392" s="26">
        <f t="shared" si="119"/>
        <v>0</v>
      </c>
      <c r="Y392" s="25">
        <f t="shared" si="118"/>
        <v>1715</v>
      </c>
      <c r="Z392" s="25">
        <f t="shared" si="118"/>
        <v>0</v>
      </c>
      <c r="AK392" s="25">
        <f t="shared" si="117"/>
        <v>0</v>
      </c>
      <c r="AM392" s="25">
        <f t="shared" si="120"/>
        <v>0</v>
      </c>
    </row>
    <row r="393" spans="11:39">
      <c r="K393" s="25">
        <v>2820</v>
      </c>
      <c r="L393" s="36"/>
      <c r="V393" s="25">
        <f>K173</f>
        <v>1720</v>
      </c>
      <c r="W393" s="26">
        <f t="shared" si="119"/>
        <v>0</v>
      </c>
      <c r="Y393" s="25">
        <f t="shared" si="118"/>
        <v>1720</v>
      </c>
      <c r="Z393" s="25">
        <f t="shared" si="118"/>
        <v>0</v>
      </c>
      <c r="AK393" s="25">
        <f t="shared" si="117"/>
        <v>0</v>
      </c>
      <c r="AM393" s="25">
        <f t="shared" si="120"/>
        <v>0</v>
      </c>
    </row>
    <row r="394" spans="11:39">
      <c r="K394" s="25">
        <v>2825</v>
      </c>
      <c r="L394" s="36"/>
      <c r="V394" s="25">
        <f>K174</f>
        <v>1725</v>
      </c>
      <c r="W394" s="26">
        <f t="shared" si="119"/>
        <v>0</v>
      </c>
      <c r="Y394" s="25">
        <f t="shared" si="118"/>
        <v>1725</v>
      </c>
      <c r="Z394" s="25">
        <f t="shared" si="118"/>
        <v>0</v>
      </c>
      <c r="AK394" s="25">
        <f t="shared" si="117"/>
        <v>0</v>
      </c>
      <c r="AM394" s="25">
        <f t="shared" si="120"/>
        <v>0</v>
      </c>
    </row>
    <row r="395" spans="11:39">
      <c r="K395" s="25">
        <v>2830</v>
      </c>
      <c r="L395" s="36"/>
      <c r="V395" s="25">
        <f>K175</f>
        <v>1730</v>
      </c>
      <c r="W395" s="26">
        <f t="shared" si="119"/>
        <v>0</v>
      </c>
      <c r="Y395" s="25">
        <f t="shared" si="118"/>
        <v>1730</v>
      </c>
      <c r="Z395" s="25">
        <f t="shared" si="118"/>
        <v>0</v>
      </c>
      <c r="AK395" s="25">
        <f t="shared" si="117"/>
        <v>0</v>
      </c>
      <c r="AM395" s="25">
        <f t="shared" si="120"/>
        <v>0</v>
      </c>
    </row>
    <row r="396" spans="11:39">
      <c r="K396" s="25">
        <v>2835</v>
      </c>
      <c r="L396" s="36"/>
      <c r="V396" s="25">
        <f>K176</f>
        <v>1735</v>
      </c>
      <c r="W396" s="26">
        <f t="shared" si="119"/>
        <v>0</v>
      </c>
      <c r="Y396" s="25">
        <f t="shared" si="118"/>
        <v>1735</v>
      </c>
      <c r="Z396" s="25">
        <f t="shared" si="118"/>
        <v>0</v>
      </c>
      <c r="AK396" s="25">
        <f t="shared" si="117"/>
        <v>0</v>
      </c>
      <c r="AM396" s="25">
        <f t="shared" si="120"/>
        <v>0</v>
      </c>
    </row>
    <row r="397" spans="11:39">
      <c r="K397" s="25">
        <v>2840</v>
      </c>
      <c r="L397" s="36"/>
      <c r="V397" s="25">
        <f>K177</f>
        <v>1740</v>
      </c>
      <c r="W397" s="26">
        <f t="shared" si="119"/>
        <v>0</v>
      </c>
      <c r="Y397" s="25">
        <f t="shared" si="118"/>
        <v>1740</v>
      </c>
      <c r="Z397" s="25">
        <f t="shared" si="118"/>
        <v>0</v>
      </c>
      <c r="AK397" s="25">
        <f t="shared" ref="AK397:AK460" si="121">0.5*(V398-V397)*(W397+W398)</f>
        <v>0</v>
      </c>
      <c r="AM397" s="25">
        <f t="shared" si="120"/>
        <v>0</v>
      </c>
    </row>
    <row r="398" spans="11:39">
      <c r="K398" s="25">
        <v>2845</v>
      </c>
      <c r="L398" s="36"/>
      <c r="V398" s="25">
        <f>K178</f>
        <v>1745</v>
      </c>
      <c r="W398" s="26">
        <f t="shared" si="119"/>
        <v>0</v>
      </c>
      <c r="Y398" s="25">
        <f t="shared" ref="Y398:Z461" si="122">V398</f>
        <v>1745</v>
      </c>
      <c r="Z398" s="25">
        <f t="shared" si="122"/>
        <v>0</v>
      </c>
      <c r="AK398" s="25">
        <f t="shared" si="121"/>
        <v>0</v>
      </c>
      <c r="AM398" s="25">
        <f t="shared" si="120"/>
        <v>0</v>
      </c>
    </row>
    <row r="399" spans="11:39">
      <c r="K399" s="25">
        <v>2850</v>
      </c>
      <c r="L399" s="36"/>
      <c r="V399" s="25">
        <f>K179</f>
        <v>1750</v>
      </c>
      <c r="W399" s="26">
        <f t="shared" ref="W399:W462" si="123">IF(L178=0,0,L178/$T$51)</f>
        <v>0</v>
      </c>
      <c r="Y399" s="25">
        <f t="shared" si="122"/>
        <v>1750</v>
      </c>
      <c r="Z399" s="25">
        <f t="shared" si="122"/>
        <v>0</v>
      </c>
      <c r="AK399" s="25">
        <f t="shared" si="121"/>
        <v>0</v>
      </c>
      <c r="AM399" s="25">
        <f t="shared" si="120"/>
        <v>0</v>
      </c>
    </row>
    <row r="400" spans="11:39">
      <c r="K400" s="25">
        <v>2855</v>
      </c>
      <c r="L400" s="36"/>
      <c r="V400" s="25">
        <f>K180</f>
        <v>1755</v>
      </c>
      <c r="W400" s="26">
        <f t="shared" si="123"/>
        <v>0</v>
      </c>
      <c r="Y400" s="25">
        <f t="shared" si="122"/>
        <v>1755</v>
      </c>
      <c r="Z400" s="25">
        <f t="shared" si="122"/>
        <v>0</v>
      </c>
      <c r="AK400" s="25">
        <f t="shared" si="121"/>
        <v>0</v>
      </c>
      <c r="AM400" s="25">
        <f t="shared" si="120"/>
        <v>0</v>
      </c>
    </row>
    <row r="401" spans="11:39">
      <c r="K401" s="25">
        <v>2860</v>
      </c>
      <c r="L401" s="36"/>
      <c r="V401" s="25">
        <f>K181</f>
        <v>1760</v>
      </c>
      <c r="W401" s="26">
        <f t="shared" si="123"/>
        <v>0</v>
      </c>
      <c r="Y401" s="25">
        <f t="shared" si="122"/>
        <v>1760</v>
      </c>
      <c r="Z401" s="25">
        <f t="shared" si="122"/>
        <v>0</v>
      </c>
      <c r="AK401" s="25">
        <f t="shared" si="121"/>
        <v>0</v>
      </c>
      <c r="AM401" s="25">
        <f t="shared" si="120"/>
        <v>0</v>
      </c>
    </row>
    <row r="402" spans="11:39">
      <c r="K402" s="25">
        <v>2865</v>
      </c>
      <c r="L402" s="36"/>
      <c r="V402" s="25">
        <f>K182</f>
        <v>1765</v>
      </c>
      <c r="W402" s="26">
        <f t="shared" si="123"/>
        <v>0</v>
      </c>
      <c r="Y402" s="25">
        <f t="shared" si="122"/>
        <v>1765</v>
      </c>
      <c r="Z402" s="25">
        <f t="shared" si="122"/>
        <v>0</v>
      </c>
      <c r="AK402" s="25">
        <f t="shared" si="121"/>
        <v>0</v>
      </c>
      <c r="AM402" s="25">
        <f t="shared" si="120"/>
        <v>0</v>
      </c>
    </row>
    <row r="403" spans="11:39">
      <c r="K403" s="25">
        <v>2870</v>
      </c>
      <c r="L403" s="36"/>
      <c r="V403" s="25">
        <f>K183</f>
        <v>1770</v>
      </c>
      <c r="W403" s="26">
        <f t="shared" si="123"/>
        <v>0</v>
      </c>
      <c r="Y403" s="25">
        <f t="shared" si="122"/>
        <v>1770</v>
      </c>
      <c r="Z403" s="25">
        <f t="shared" si="122"/>
        <v>0</v>
      </c>
      <c r="AK403" s="25">
        <f t="shared" si="121"/>
        <v>0</v>
      </c>
      <c r="AM403" s="25">
        <f t="shared" si="120"/>
        <v>0</v>
      </c>
    </row>
    <row r="404" spans="11:39">
      <c r="K404" s="25">
        <v>2875</v>
      </c>
      <c r="L404" s="36"/>
      <c r="V404" s="25">
        <f>K184</f>
        <v>1775</v>
      </c>
      <c r="W404" s="26">
        <f t="shared" si="123"/>
        <v>0</v>
      </c>
      <c r="Y404" s="25">
        <f t="shared" si="122"/>
        <v>1775</v>
      </c>
      <c r="Z404" s="25">
        <f t="shared" si="122"/>
        <v>0</v>
      </c>
      <c r="AK404" s="25">
        <f t="shared" si="121"/>
        <v>0</v>
      </c>
      <c r="AM404" s="25">
        <f t="shared" si="120"/>
        <v>0</v>
      </c>
    </row>
    <row r="405" spans="11:39">
      <c r="K405" s="25">
        <v>2880</v>
      </c>
      <c r="L405" s="36"/>
      <c r="V405" s="25">
        <f>K185</f>
        <v>1780</v>
      </c>
      <c r="W405" s="26">
        <f t="shared" si="123"/>
        <v>0</v>
      </c>
      <c r="Y405" s="25">
        <f t="shared" si="122"/>
        <v>1780</v>
      </c>
      <c r="Z405" s="25">
        <f t="shared" si="122"/>
        <v>0</v>
      </c>
      <c r="AK405" s="25">
        <f t="shared" si="121"/>
        <v>0</v>
      </c>
      <c r="AM405" s="25">
        <f t="shared" si="120"/>
        <v>0</v>
      </c>
    </row>
    <row r="406" spans="11:39">
      <c r="K406" s="25">
        <v>2885</v>
      </c>
      <c r="L406" s="36"/>
      <c r="V406" s="25">
        <f>K186</f>
        <v>1785</v>
      </c>
      <c r="W406" s="26">
        <f t="shared" si="123"/>
        <v>0</v>
      </c>
      <c r="Y406" s="25">
        <f t="shared" si="122"/>
        <v>1785</v>
      </c>
      <c r="Z406" s="25">
        <f t="shared" si="122"/>
        <v>0</v>
      </c>
      <c r="AK406" s="25">
        <f t="shared" si="121"/>
        <v>0</v>
      </c>
      <c r="AM406" s="25">
        <f t="shared" si="120"/>
        <v>0</v>
      </c>
    </row>
    <row r="407" spans="11:39">
      <c r="K407" s="25">
        <v>2890</v>
      </c>
      <c r="L407" s="36"/>
      <c r="V407" s="25">
        <f>K187</f>
        <v>1790</v>
      </c>
      <c r="W407" s="26">
        <f t="shared" si="123"/>
        <v>0</v>
      </c>
      <c r="Y407" s="25">
        <f t="shared" si="122"/>
        <v>1790</v>
      </c>
      <c r="Z407" s="25">
        <f t="shared" si="122"/>
        <v>0</v>
      </c>
      <c r="AK407" s="25">
        <f t="shared" si="121"/>
        <v>0</v>
      </c>
      <c r="AM407" s="25">
        <f t="shared" si="120"/>
        <v>0</v>
      </c>
    </row>
    <row r="408" spans="11:39">
      <c r="K408" s="25">
        <v>2895</v>
      </c>
      <c r="L408" s="36"/>
      <c r="V408" s="25">
        <f>K188</f>
        <v>1795</v>
      </c>
      <c r="W408" s="26">
        <f t="shared" si="123"/>
        <v>0</v>
      </c>
      <c r="Y408" s="25">
        <f t="shared" si="122"/>
        <v>1795</v>
      </c>
      <c r="Z408" s="25">
        <f t="shared" si="122"/>
        <v>0</v>
      </c>
      <c r="AK408" s="25">
        <f t="shared" si="121"/>
        <v>0</v>
      </c>
      <c r="AM408" s="25">
        <f t="shared" si="120"/>
        <v>0</v>
      </c>
    </row>
    <row r="409" spans="11:39">
      <c r="K409" s="25">
        <v>2900</v>
      </c>
      <c r="L409" s="36"/>
      <c r="V409" s="25">
        <f>K189</f>
        <v>1800</v>
      </c>
      <c r="W409" s="26">
        <f t="shared" si="123"/>
        <v>0</v>
      </c>
      <c r="Y409" s="25">
        <f t="shared" si="122"/>
        <v>1800</v>
      </c>
      <c r="Z409" s="25">
        <f t="shared" si="122"/>
        <v>0</v>
      </c>
      <c r="AK409" s="25">
        <f t="shared" si="121"/>
        <v>0</v>
      </c>
      <c r="AM409" s="25">
        <f t="shared" si="120"/>
        <v>0</v>
      </c>
    </row>
    <row r="410" spans="11:39">
      <c r="K410" s="25">
        <v>2905</v>
      </c>
      <c r="L410" s="36"/>
      <c r="V410" s="25">
        <f>K190</f>
        <v>1805</v>
      </c>
      <c r="W410" s="26">
        <f t="shared" si="123"/>
        <v>0</v>
      </c>
      <c r="Y410" s="25">
        <f t="shared" si="122"/>
        <v>1805</v>
      </c>
      <c r="Z410" s="25">
        <f t="shared" si="122"/>
        <v>0</v>
      </c>
      <c r="AK410" s="25">
        <f t="shared" si="121"/>
        <v>0</v>
      </c>
      <c r="AM410" s="25">
        <f t="shared" si="120"/>
        <v>0</v>
      </c>
    </row>
    <row r="411" spans="11:39">
      <c r="K411" s="25">
        <v>2910</v>
      </c>
      <c r="L411" s="36"/>
      <c r="V411" s="25">
        <f>K191</f>
        <v>1810</v>
      </c>
      <c r="W411" s="26">
        <f t="shared" si="123"/>
        <v>0</v>
      </c>
      <c r="Y411" s="25">
        <f t="shared" si="122"/>
        <v>1810</v>
      </c>
      <c r="Z411" s="25">
        <f t="shared" si="122"/>
        <v>0</v>
      </c>
      <c r="AK411" s="25">
        <f t="shared" si="121"/>
        <v>0</v>
      </c>
      <c r="AM411" s="25">
        <f t="shared" si="120"/>
        <v>0</v>
      </c>
    </row>
    <row r="412" spans="11:39">
      <c r="K412" s="25">
        <v>2915</v>
      </c>
      <c r="L412" s="36"/>
      <c r="V412" s="25">
        <f>K192</f>
        <v>1815</v>
      </c>
      <c r="W412" s="26">
        <f t="shared" si="123"/>
        <v>0</v>
      </c>
      <c r="Y412" s="25">
        <f t="shared" si="122"/>
        <v>1815</v>
      </c>
      <c r="Z412" s="25">
        <f t="shared" si="122"/>
        <v>0</v>
      </c>
      <c r="AK412" s="25">
        <f t="shared" si="121"/>
        <v>0</v>
      </c>
      <c r="AM412" s="25">
        <f t="shared" si="120"/>
        <v>0</v>
      </c>
    </row>
    <row r="413" spans="11:39">
      <c r="K413" s="25">
        <v>2920</v>
      </c>
      <c r="L413" s="36"/>
      <c r="V413" s="25">
        <f>K193</f>
        <v>1820</v>
      </c>
      <c r="W413" s="26">
        <f t="shared" si="123"/>
        <v>0</v>
      </c>
      <c r="Y413" s="25">
        <f t="shared" si="122"/>
        <v>1820</v>
      </c>
      <c r="Z413" s="25">
        <f t="shared" si="122"/>
        <v>0</v>
      </c>
      <c r="AK413" s="25">
        <f t="shared" si="121"/>
        <v>0</v>
      </c>
      <c r="AM413" s="25">
        <f t="shared" si="120"/>
        <v>0</v>
      </c>
    </row>
    <row r="414" spans="11:39">
      <c r="K414" s="25">
        <v>2925</v>
      </c>
      <c r="L414" s="36"/>
      <c r="V414" s="25">
        <f>K194</f>
        <v>1825</v>
      </c>
      <c r="W414" s="26">
        <f t="shared" si="123"/>
        <v>0</v>
      </c>
      <c r="Y414" s="25">
        <f t="shared" si="122"/>
        <v>1825</v>
      </c>
      <c r="Z414" s="25">
        <f t="shared" si="122"/>
        <v>0</v>
      </c>
      <c r="AK414" s="25">
        <f t="shared" si="121"/>
        <v>0</v>
      </c>
      <c r="AM414" s="25">
        <f t="shared" si="120"/>
        <v>0</v>
      </c>
    </row>
    <row r="415" spans="11:39">
      <c r="K415" s="25">
        <v>2930</v>
      </c>
      <c r="L415" s="36"/>
      <c r="V415" s="25">
        <f>K195</f>
        <v>1830</v>
      </c>
      <c r="W415" s="26">
        <f t="shared" si="123"/>
        <v>0</v>
      </c>
      <c r="Y415" s="25">
        <f t="shared" si="122"/>
        <v>1830</v>
      </c>
      <c r="Z415" s="25">
        <f t="shared" si="122"/>
        <v>0</v>
      </c>
      <c r="AK415" s="25">
        <f t="shared" si="121"/>
        <v>0</v>
      </c>
      <c r="AM415" s="25">
        <f t="shared" si="120"/>
        <v>0</v>
      </c>
    </row>
    <row r="416" spans="11:39">
      <c r="K416" s="25">
        <v>2935</v>
      </c>
      <c r="L416" s="36"/>
      <c r="V416" s="25">
        <f>K196</f>
        <v>1835</v>
      </c>
      <c r="W416" s="26">
        <f t="shared" si="123"/>
        <v>0</v>
      </c>
      <c r="Y416" s="25">
        <f t="shared" si="122"/>
        <v>1835</v>
      </c>
      <c r="Z416" s="25">
        <f t="shared" si="122"/>
        <v>0</v>
      </c>
      <c r="AK416" s="25">
        <f t="shared" si="121"/>
        <v>0</v>
      </c>
      <c r="AM416" s="25">
        <f t="shared" si="120"/>
        <v>0</v>
      </c>
    </row>
    <row r="417" spans="11:39">
      <c r="K417" s="25">
        <v>2940</v>
      </c>
      <c r="L417" s="36"/>
      <c r="V417" s="25">
        <f>K197</f>
        <v>1840</v>
      </c>
      <c r="W417" s="26">
        <f t="shared" si="123"/>
        <v>0</v>
      </c>
      <c r="Y417" s="25">
        <f t="shared" si="122"/>
        <v>1840</v>
      </c>
      <c r="Z417" s="25">
        <f t="shared" si="122"/>
        <v>0</v>
      </c>
      <c r="AK417" s="25">
        <f t="shared" si="121"/>
        <v>0</v>
      </c>
      <c r="AM417" s="25">
        <f t="shared" si="120"/>
        <v>0</v>
      </c>
    </row>
    <row r="418" spans="11:39">
      <c r="K418" s="25">
        <v>2945</v>
      </c>
      <c r="L418" s="36"/>
      <c r="V418" s="25">
        <f>K198</f>
        <v>1845</v>
      </c>
      <c r="W418" s="26">
        <f t="shared" si="123"/>
        <v>0</v>
      </c>
      <c r="Y418" s="25">
        <f t="shared" si="122"/>
        <v>1845</v>
      </c>
      <c r="Z418" s="25">
        <f t="shared" si="122"/>
        <v>0</v>
      </c>
      <c r="AK418" s="25">
        <f t="shared" si="121"/>
        <v>0</v>
      </c>
      <c r="AM418" s="25">
        <f t="shared" si="120"/>
        <v>0</v>
      </c>
    </row>
    <row r="419" spans="11:39">
      <c r="K419" s="25">
        <v>2950</v>
      </c>
      <c r="L419" s="36"/>
      <c r="V419" s="25">
        <f>K199</f>
        <v>1850</v>
      </c>
      <c r="W419" s="26">
        <f t="shared" si="123"/>
        <v>0</v>
      </c>
      <c r="Y419" s="25">
        <f t="shared" si="122"/>
        <v>1850</v>
      </c>
      <c r="Z419" s="25">
        <f t="shared" si="122"/>
        <v>0</v>
      </c>
      <c r="AK419" s="25">
        <f t="shared" si="121"/>
        <v>0</v>
      </c>
      <c r="AM419" s="25">
        <f t="shared" si="120"/>
        <v>0</v>
      </c>
    </row>
    <row r="420" spans="11:39">
      <c r="K420" s="25">
        <v>2955</v>
      </c>
      <c r="L420" s="36"/>
      <c r="V420" s="25">
        <f>K200</f>
        <v>1855</v>
      </c>
      <c r="W420" s="26">
        <f t="shared" si="123"/>
        <v>0</v>
      </c>
      <c r="Y420" s="25">
        <f t="shared" si="122"/>
        <v>1855</v>
      </c>
      <c r="Z420" s="25">
        <f t="shared" si="122"/>
        <v>0</v>
      </c>
      <c r="AK420" s="25">
        <f t="shared" si="121"/>
        <v>0</v>
      </c>
      <c r="AM420" s="25">
        <f t="shared" si="120"/>
        <v>0</v>
      </c>
    </row>
    <row r="421" spans="11:39">
      <c r="K421" s="25">
        <v>2960</v>
      </c>
      <c r="L421" s="36"/>
      <c r="V421" s="25">
        <f>K201</f>
        <v>1860</v>
      </c>
      <c r="W421" s="26">
        <f t="shared" si="123"/>
        <v>0</v>
      </c>
      <c r="Y421" s="25">
        <f t="shared" si="122"/>
        <v>1860</v>
      </c>
      <c r="Z421" s="25">
        <f t="shared" si="122"/>
        <v>0</v>
      </c>
      <c r="AK421" s="25">
        <f t="shared" si="121"/>
        <v>0</v>
      </c>
      <c r="AM421" s="25">
        <f t="shared" si="120"/>
        <v>0</v>
      </c>
    </row>
    <row r="422" spans="11:39">
      <c r="K422" s="25">
        <v>2965</v>
      </c>
      <c r="L422" s="36"/>
      <c r="V422" s="25">
        <f>K202</f>
        <v>1865</v>
      </c>
      <c r="W422" s="26">
        <f t="shared" si="123"/>
        <v>0</v>
      </c>
      <c r="Y422" s="25">
        <f t="shared" si="122"/>
        <v>1865</v>
      </c>
      <c r="Z422" s="25">
        <f t="shared" si="122"/>
        <v>0</v>
      </c>
      <c r="AK422" s="25">
        <f t="shared" si="121"/>
        <v>0</v>
      </c>
      <c r="AM422" s="25">
        <f t="shared" si="120"/>
        <v>0</v>
      </c>
    </row>
    <row r="423" spans="11:39">
      <c r="K423" s="25">
        <v>2970</v>
      </c>
      <c r="L423" s="36"/>
      <c r="V423" s="25">
        <f>K203</f>
        <v>1870</v>
      </c>
      <c r="W423" s="26">
        <f t="shared" si="123"/>
        <v>0</v>
      </c>
      <c r="Y423" s="25">
        <f t="shared" si="122"/>
        <v>1870</v>
      </c>
      <c r="Z423" s="25">
        <f t="shared" si="122"/>
        <v>0</v>
      </c>
      <c r="AK423" s="25">
        <f t="shared" si="121"/>
        <v>0</v>
      </c>
      <c r="AM423" s="25">
        <f t="shared" si="120"/>
        <v>0</v>
      </c>
    </row>
    <row r="424" spans="11:39">
      <c r="K424" s="25">
        <v>2975</v>
      </c>
      <c r="L424" s="36"/>
      <c r="V424" s="25">
        <f>K204</f>
        <v>1875</v>
      </c>
      <c r="W424" s="26">
        <f t="shared" si="123"/>
        <v>0</v>
      </c>
      <c r="Y424" s="25">
        <f t="shared" si="122"/>
        <v>1875</v>
      </c>
      <c r="Z424" s="25">
        <f t="shared" si="122"/>
        <v>0</v>
      </c>
      <c r="AK424" s="25">
        <f t="shared" si="121"/>
        <v>0</v>
      </c>
      <c r="AM424" s="25">
        <f t="shared" si="120"/>
        <v>0</v>
      </c>
    </row>
    <row r="425" spans="11:39">
      <c r="K425" s="25">
        <v>2980</v>
      </c>
      <c r="L425" s="36"/>
      <c r="V425" s="25">
        <f>K205</f>
        <v>1880</v>
      </c>
      <c r="W425" s="26">
        <f t="shared" si="123"/>
        <v>0</v>
      </c>
      <c r="Y425" s="25">
        <f t="shared" si="122"/>
        <v>1880</v>
      </c>
      <c r="Z425" s="25">
        <f t="shared" si="122"/>
        <v>0</v>
      </c>
      <c r="AK425" s="25">
        <f t="shared" si="121"/>
        <v>0</v>
      </c>
      <c r="AM425" s="25">
        <f t="shared" si="120"/>
        <v>0</v>
      </c>
    </row>
    <row r="426" spans="11:39">
      <c r="K426" s="25">
        <v>2985</v>
      </c>
      <c r="L426" s="36"/>
      <c r="V426" s="25">
        <f>K206</f>
        <v>1885</v>
      </c>
      <c r="W426" s="26">
        <f t="shared" si="123"/>
        <v>0</v>
      </c>
      <c r="Y426" s="25">
        <f t="shared" si="122"/>
        <v>1885</v>
      </c>
      <c r="Z426" s="25">
        <f t="shared" si="122"/>
        <v>0</v>
      </c>
      <c r="AK426" s="25">
        <f t="shared" si="121"/>
        <v>0</v>
      </c>
      <c r="AM426" s="25">
        <f t="shared" si="120"/>
        <v>0</v>
      </c>
    </row>
    <row r="427" spans="11:39">
      <c r="K427" s="25">
        <v>2990</v>
      </c>
      <c r="L427" s="36"/>
      <c r="V427" s="25">
        <f>K207</f>
        <v>1890</v>
      </c>
      <c r="W427" s="26">
        <f t="shared" si="123"/>
        <v>0</v>
      </c>
      <c r="Y427" s="25">
        <f t="shared" si="122"/>
        <v>1890</v>
      </c>
      <c r="Z427" s="25">
        <f t="shared" si="122"/>
        <v>0</v>
      </c>
      <c r="AK427" s="25">
        <f t="shared" si="121"/>
        <v>0</v>
      </c>
      <c r="AM427" s="25">
        <f t="shared" si="120"/>
        <v>0</v>
      </c>
    </row>
    <row r="428" spans="11:39">
      <c r="K428" s="25">
        <v>2995</v>
      </c>
      <c r="L428" s="36"/>
      <c r="V428" s="25">
        <f>K208</f>
        <v>1895</v>
      </c>
      <c r="W428" s="26">
        <f t="shared" si="123"/>
        <v>0</v>
      </c>
      <c r="Y428" s="25">
        <f t="shared" si="122"/>
        <v>1895</v>
      </c>
      <c r="Z428" s="25">
        <f t="shared" si="122"/>
        <v>0</v>
      </c>
      <c r="AK428" s="25">
        <f t="shared" si="121"/>
        <v>0</v>
      </c>
      <c r="AM428" s="25">
        <f t="shared" si="120"/>
        <v>0</v>
      </c>
    </row>
    <row r="429" spans="11:39">
      <c r="K429" s="25">
        <v>3000</v>
      </c>
      <c r="L429" s="36"/>
      <c r="V429" s="25">
        <f>K209</f>
        <v>1900</v>
      </c>
      <c r="W429" s="26">
        <f t="shared" si="123"/>
        <v>0</v>
      </c>
      <c r="Y429" s="25">
        <f t="shared" si="122"/>
        <v>1900</v>
      </c>
      <c r="Z429" s="25">
        <f t="shared" si="122"/>
        <v>0</v>
      </c>
      <c r="AK429" s="25">
        <f t="shared" si="121"/>
        <v>0</v>
      </c>
      <c r="AM429" s="25">
        <f t="shared" si="120"/>
        <v>0</v>
      </c>
    </row>
    <row r="430" spans="11:39">
      <c r="V430" s="25">
        <f>K210</f>
        <v>1905</v>
      </c>
      <c r="W430" s="26">
        <f t="shared" si="123"/>
        <v>0</v>
      </c>
      <c r="Y430" s="25">
        <f t="shared" si="122"/>
        <v>1905</v>
      </c>
      <c r="Z430" s="25">
        <f t="shared" si="122"/>
        <v>0</v>
      </c>
      <c r="AK430" s="25">
        <f t="shared" si="121"/>
        <v>0</v>
      </c>
      <c r="AM430" s="25">
        <f t="shared" si="120"/>
        <v>0</v>
      </c>
    </row>
    <row r="431" spans="11:39">
      <c r="V431" s="25">
        <f>K211</f>
        <v>1910</v>
      </c>
      <c r="W431" s="26">
        <f t="shared" si="123"/>
        <v>0</v>
      </c>
      <c r="Y431" s="25">
        <f t="shared" si="122"/>
        <v>1910</v>
      </c>
      <c r="Z431" s="25">
        <f t="shared" si="122"/>
        <v>0</v>
      </c>
      <c r="AK431" s="25">
        <f t="shared" si="121"/>
        <v>0</v>
      </c>
      <c r="AM431" s="25">
        <f t="shared" si="120"/>
        <v>0</v>
      </c>
    </row>
    <row r="432" spans="11:39">
      <c r="V432" s="25">
        <f>K212</f>
        <v>1915</v>
      </c>
      <c r="W432" s="26">
        <f t="shared" si="123"/>
        <v>0</v>
      </c>
      <c r="Y432" s="25">
        <f t="shared" si="122"/>
        <v>1915</v>
      </c>
      <c r="Z432" s="25">
        <f t="shared" si="122"/>
        <v>0</v>
      </c>
      <c r="AK432" s="25">
        <f t="shared" si="121"/>
        <v>0</v>
      </c>
      <c r="AM432" s="25">
        <f t="shared" si="120"/>
        <v>0</v>
      </c>
    </row>
    <row r="433" spans="22:39">
      <c r="V433" s="25">
        <f>K213</f>
        <v>1920</v>
      </c>
      <c r="W433" s="26">
        <f t="shared" si="123"/>
        <v>0</v>
      </c>
      <c r="Y433" s="25">
        <f t="shared" si="122"/>
        <v>1920</v>
      </c>
      <c r="Z433" s="25">
        <f t="shared" si="122"/>
        <v>0</v>
      </c>
      <c r="AK433" s="25">
        <f t="shared" si="121"/>
        <v>0</v>
      </c>
      <c r="AM433" s="25">
        <f t="shared" si="120"/>
        <v>0</v>
      </c>
    </row>
    <row r="434" spans="22:39">
      <c r="V434" s="25">
        <f>K214</f>
        <v>1925</v>
      </c>
      <c r="W434" s="26">
        <f t="shared" si="123"/>
        <v>0</v>
      </c>
      <c r="Y434" s="25">
        <f t="shared" si="122"/>
        <v>1925</v>
      </c>
      <c r="Z434" s="25">
        <f t="shared" si="122"/>
        <v>0</v>
      </c>
      <c r="AK434" s="25">
        <f t="shared" si="121"/>
        <v>0</v>
      </c>
      <c r="AM434" s="25">
        <f t="shared" si="120"/>
        <v>0</v>
      </c>
    </row>
    <row r="435" spans="22:39">
      <c r="V435" s="25">
        <f>K215</f>
        <v>1930</v>
      </c>
      <c r="W435" s="26">
        <f t="shared" si="123"/>
        <v>0</v>
      </c>
      <c r="Y435" s="25">
        <f t="shared" si="122"/>
        <v>1930</v>
      </c>
      <c r="Z435" s="25">
        <f t="shared" si="122"/>
        <v>0</v>
      </c>
      <c r="AK435" s="25">
        <f t="shared" si="121"/>
        <v>0</v>
      </c>
      <c r="AM435" s="25">
        <f t="shared" si="120"/>
        <v>0</v>
      </c>
    </row>
    <row r="436" spans="22:39">
      <c r="V436" s="25">
        <f>K216</f>
        <v>1935</v>
      </c>
      <c r="W436" s="26">
        <f t="shared" si="123"/>
        <v>0</v>
      </c>
      <c r="Y436" s="25">
        <f t="shared" si="122"/>
        <v>1935</v>
      </c>
      <c r="Z436" s="25">
        <f t="shared" si="122"/>
        <v>0</v>
      </c>
      <c r="AK436" s="25">
        <f t="shared" si="121"/>
        <v>0</v>
      </c>
      <c r="AM436" s="25">
        <f t="shared" si="120"/>
        <v>0</v>
      </c>
    </row>
    <row r="437" spans="22:39">
      <c r="V437" s="25">
        <f>K217</f>
        <v>1940</v>
      </c>
      <c r="W437" s="26">
        <f t="shared" si="123"/>
        <v>0</v>
      </c>
      <c r="Y437" s="25">
        <f t="shared" si="122"/>
        <v>1940</v>
      </c>
      <c r="Z437" s="25">
        <f t="shared" si="122"/>
        <v>0</v>
      </c>
      <c r="AK437" s="25">
        <f t="shared" si="121"/>
        <v>0</v>
      </c>
      <c r="AM437" s="25">
        <f t="shared" si="120"/>
        <v>0</v>
      </c>
    </row>
    <row r="438" spans="22:39">
      <c r="V438" s="25">
        <f>K218</f>
        <v>1945</v>
      </c>
      <c r="W438" s="26">
        <f t="shared" si="123"/>
        <v>0</v>
      </c>
      <c r="Y438" s="25">
        <f t="shared" si="122"/>
        <v>1945</v>
      </c>
      <c r="Z438" s="25">
        <f t="shared" si="122"/>
        <v>0</v>
      </c>
      <c r="AK438" s="25">
        <f t="shared" si="121"/>
        <v>0</v>
      </c>
      <c r="AM438" s="25">
        <f t="shared" si="120"/>
        <v>0</v>
      </c>
    </row>
    <row r="439" spans="22:39">
      <c r="V439" s="25">
        <f>K219</f>
        <v>1950</v>
      </c>
      <c r="W439" s="26">
        <f t="shared" si="123"/>
        <v>0</v>
      </c>
      <c r="Y439" s="25">
        <f t="shared" si="122"/>
        <v>1950</v>
      </c>
      <c r="Z439" s="25">
        <f t="shared" si="122"/>
        <v>0</v>
      </c>
      <c r="AK439" s="25">
        <f t="shared" si="121"/>
        <v>0</v>
      </c>
      <c r="AM439" s="25">
        <f t="shared" si="120"/>
        <v>0</v>
      </c>
    </row>
    <row r="440" spans="22:39">
      <c r="V440" s="25">
        <f>K220</f>
        <v>1955</v>
      </c>
      <c r="W440" s="26">
        <f t="shared" si="123"/>
        <v>0</v>
      </c>
      <c r="Y440" s="25">
        <f t="shared" si="122"/>
        <v>1955</v>
      </c>
      <c r="Z440" s="25">
        <f t="shared" si="122"/>
        <v>0</v>
      </c>
      <c r="AK440" s="25">
        <f t="shared" si="121"/>
        <v>0</v>
      </c>
      <c r="AM440" s="25">
        <f t="shared" ref="AM440:AM503" si="124">0.5*(V441-V440)*(W440+W441)</f>
        <v>0</v>
      </c>
    </row>
    <row r="441" spans="22:39">
      <c r="V441" s="25">
        <f>K221</f>
        <v>1960</v>
      </c>
      <c r="W441" s="26">
        <f t="shared" si="123"/>
        <v>0</v>
      </c>
      <c r="Y441" s="25">
        <f t="shared" si="122"/>
        <v>1960</v>
      </c>
      <c r="Z441" s="25">
        <f t="shared" si="122"/>
        <v>0</v>
      </c>
      <c r="AK441" s="25">
        <f t="shared" si="121"/>
        <v>0</v>
      </c>
      <c r="AM441" s="25">
        <f t="shared" si="124"/>
        <v>0</v>
      </c>
    </row>
    <row r="442" spans="22:39">
      <c r="V442" s="25">
        <f>K222</f>
        <v>1965</v>
      </c>
      <c r="W442" s="26">
        <f t="shared" si="123"/>
        <v>0</v>
      </c>
      <c r="Y442" s="25">
        <f t="shared" si="122"/>
        <v>1965</v>
      </c>
      <c r="Z442" s="25">
        <f t="shared" si="122"/>
        <v>0</v>
      </c>
      <c r="AK442" s="25">
        <f t="shared" si="121"/>
        <v>0</v>
      </c>
      <c r="AM442" s="25">
        <f t="shared" si="124"/>
        <v>0</v>
      </c>
    </row>
    <row r="443" spans="22:39">
      <c r="V443" s="25">
        <f>K223</f>
        <v>1970</v>
      </c>
      <c r="W443" s="26">
        <f t="shared" si="123"/>
        <v>0</v>
      </c>
      <c r="Y443" s="25">
        <f t="shared" si="122"/>
        <v>1970</v>
      </c>
      <c r="Z443" s="25">
        <f t="shared" si="122"/>
        <v>0</v>
      </c>
      <c r="AK443" s="25">
        <f t="shared" si="121"/>
        <v>0</v>
      </c>
      <c r="AM443" s="25">
        <f t="shared" si="124"/>
        <v>0</v>
      </c>
    </row>
    <row r="444" spans="22:39">
      <c r="V444" s="25">
        <f>K224</f>
        <v>1975</v>
      </c>
      <c r="W444" s="26">
        <f t="shared" si="123"/>
        <v>0</v>
      </c>
      <c r="Y444" s="25">
        <f t="shared" si="122"/>
        <v>1975</v>
      </c>
      <c r="Z444" s="25">
        <f t="shared" si="122"/>
        <v>0</v>
      </c>
      <c r="AK444" s="25">
        <f t="shared" si="121"/>
        <v>0</v>
      </c>
      <c r="AM444" s="25">
        <f t="shared" si="124"/>
        <v>0</v>
      </c>
    </row>
    <row r="445" spans="22:39">
      <c r="V445" s="25">
        <f>K225</f>
        <v>1980</v>
      </c>
      <c r="W445" s="26">
        <f t="shared" si="123"/>
        <v>0</v>
      </c>
      <c r="Y445" s="25">
        <f t="shared" si="122"/>
        <v>1980</v>
      </c>
      <c r="Z445" s="25">
        <f t="shared" si="122"/>
        <v>0</v>
      </c>
      <c r="AK445" s="25">
        <f t="shared" si="121"/>
        <v>0</v>
      </c>
      <c r="AM445" s="25">
        <f t="shared" si="124"/>
        <v>0</v>
      </c>
    </row>
    <row r="446" spans="22:39">
      <c r="V446" s="25">
        <f>K226</f>
        <v>1985</v>
      </c>
      <c r="W446" s="26">
        <f t="shared" si="123"/>
        <v>0</v>
      </c>
      <c r="Y446" s="25">
        <f t="shared" si="122"/>
        <v>1985</v>
      </c>
      <c r="Z446" s="25">
        <f t="shared" si="122"/>
        <v>0</v>
      </c>
      <c r="AK446" s="25">
        <f t="shared" si="121"/>
        <v>0</v>
      </c>
      <c r="AM446" s="25">
        <f t="shared" si="124"/>
        <v>0</v>
      </c>
    </row>
    <row r="447" spans="22:39">
      <c r="V447" s="25">
        <f>K227</f>
        <v>1990</v>
      </c>
      <c r="W447" s="26">
        <f t="shared" si="123"/>
        <v>0</v>
      </c>
      <c r="Y447" s="25">
        <f t="shared" si="122"/>
        <v>1990</v>
      </c>
      <c r="Z447" s="25">
        <f t="shared" si="122"/>
        <v>0</v>
      </c>
      <c r="AK447" s="25">
        <f t="shared" si="121"/>
        <v>0</v>
      </c>
      <c r="AM447" s="25">
        <f t="shared" si="124"/>
        <v>0</v>
      </c>
    </row>
    <row r="448" spans="22:39">
      <c r="V448" s="25">
        <f>K228</f>
        <v>1995</v>
      </c>
      <c r="W448" s="26">
        <f t="shared" si="123"/>
        <v>0</v>
      </c>
      <c r="Y448" s="25">
        <f t="shared" si="122"/>
        <v>1995</v>
      </c>
      <c r="Z448" s="25">
        <f t="shared" si="122"/>
        <v>0</v>
      </c>
      <c r="AK448" s="25">
        <f t="shared" si="121"/>
        <v>0</v>
      </c>
      <c r="AM448" s="25">
        <f t="shared" si="124"/>
        <v>0</v>
      </c>
    </row>
    <row r="449" spans="22:39">
      <c r="V449" s="25">
        <f>K229</f>
        <v>2000</v>
      </c>
      <c r="W449" s="26">
        <f t="shared" si="123"/>
        <v>0</v>
      </c>
      <c r="Y449" s="25">
        <f t="shared" si="122"/>
        <v>2000</v>
      </c>
      <c r="Z449" s="25">
        <f t="shared" si="122"/>
        <v>0</v>
      </c>
      <c r="AK449" s="25">
        <f t="shared" si="121"/>
        <v>0</v>
      </c>
      <c r="AM449" s="25">
        <f t="shared" si="124"/>
        <v>0</v>
      </c>
    </row>
    <row r="450" spans="22:39">
      <c r="V450" s="25">
        <f>K230</f>
        <v>2005</v>
      </c>
      <c r="W450" s="26">
        <f t="shared" si="123"/>
        <v>0</v>
      </c>
      <c r="Y450" s="25">
        <f t="shared" si="122"/>
        <v>2005</v>
      </c>
      <c r="Z450" s="25">
        <f t="shared" si="122"/>
        <v>0</v>
      </c>
      <c r="AK450" s="25">
        <f t="shared" si="121"/>
        <v>0</v>
      </c>
      <c r="AM450" s="25">
        <f t="shared" si="124"/>
        <v>0</v>
      </c>
    </row>
    <row r="451" spans="22:39">
      <c r="V451" s="25">
        <f>K231</f>
        <v>2010</v>
      </c>
      <c r="W451" s="26">
        <f t="shared" si="123"/>
        <v>0</v>
      </c>
      <c r="Y451" s="25">
        <f t="shared" si="122"/>
        <v>2010</v>
      </c>
      <c r="Z451" s="25">
        <f t="shared" si="122"/>
        <v>0</v>
      </c>
      <c r="AK451" s="25">
        <f t="shared" si="121"/>
        <v>0</v>
      </c>
      <c r="AM451" s="25">
        <f t="shared" si="124"/>
        <v>0</v>
      </c>
    </row>
    <row r="452" spans="22:39">
      <c r="V452" s="25">
        <f>K232</f>
        <v>2015</v>
      </c>
      <c r="W452" s="26">
        <f t="shared" si="123"/>
        <v>0</v>
      </c>
      <c r="Y452" s="25">
        <f t="shared" si="122"/>
        <v>2015</v>
      </c>
      <c r="Z452" s="25">
        <f t="shared" si="122"/>
        <v>0</v>
      </c>
      <c r="AK452" s="25">
        <f t="shared" si="121"/>
        <v>0</v>
      </c>
      <c r="AM452" s="25">
        <f t="shared" si="124"/>
        <v>0</v>
      </c>
    </row>
    <row r="453" spans="22:39">
      <c r="V453" s="25">
        <f>K233</f>
        <v>2020</v>
      </c>
      <c r="W453" s="26">
        <f t="shared" si="123"/>
        <v>0</v>
      </c>
      <c r="Y453" s="25">
        <f t="shared" si="122"/>
        <v>2020</v>
      </c>
      <c r="Z453" s="25">
        <f t="shared" si="122"/>
        <v>0</v>
      </c>
      <c r="AK453" s="25">
        <f t="shared" si="121"/>
        <v>0</v>
      </c>
      <c r="AM453" s="25">
        <f t="shared" si="124"/>
        <v>0</v>
      </c>
    </row>
    <row r="454" spans="22:39">
      <c r="V454" s="25">
        <f>K234</f>
        <v>2025</v>
      </c>
      <c r="W454" s="26">
        <f t="shared" si="123"/>
        <v>0</v>
      </c>
      <c r="Y454" s="25">
        <f t="shared" si="122"/>
        <v>2025</v>
      </c>
      <c r="Z454" s="25">
        <f t="shared" si="122"/>
        <v>0</v>
      </c>
      <c r="AK454" s="25">
        <f t="shared" si="121"/>
        <v>0</v>
      </c>
      <c r="AM454" s="25">
        <f t="shared" si="124"/>
        <v>0</v>
      </c>
    </row>
    <row r="455" spans="22:39">
      <c r="V455" s="25">
        <f>K235</f>
        <v>2030</v>
      </c>
      <c r="W455" s="26">
        <f t="shared" si="123"/>
        <v>0</v>
      </c>
      <c r="Y455" s="25">
        <f t="shared" si="122"/>
        <v>2030</v>
      </c>
      <c r="Z455" s="25">
        <f t="shared" si="122"/>
        <v>0</v>
      </c>
      <c r="AK455" s="25">
        <f t="shared" si="121"/>
        <v>0</v>
      </c>
      <c r="AM455" s="25">
        <f t="shared" si="124"/>
        <v>0</v>
      </c>
    </row>
    <row r="456" spans="22:39">
      <c r="V456" s="25">
        <f>K236</f>
        <v>2035</v>
      </c>
      <c r="W456" s="26">
        <f t="shared" si="123"/>
        <v>0</v>
      </c>
      <c r="Y456" s="25">
        <f t="shared" si="122"/>
        <v>2035</v>
      </c>
      <c r="Z456" s="25">
        <f t="shared" si="122"/>
        <v>0</v>
      </c>
      <c r="AK456" s="25">
        <f t="shared" si="121"/>
        <v>0</v>
      </c>
      <c r="AM456" s="25">
        <f t="shared" si="124"/>
        <v>0</v>
      </c>
    </row>
    <row r="457" spans="22:39">
      <c r="V457" s="25">
        <f>K237</f>
        <v>2040</v>
      </c>
      <c r="W457" s="26">
        <f t="shared" si="123"/>
        <v>0</v>
      </c>
      <c r="Y457" s="25">
        <f t="shared" si="122"/>
        <v>2040</v>
      </c>
      <c r="Z457" s="25">
        <f t="shared" si="122"/>
        <v>0</v>
      </c>
      <c r="AK457" s="25">
        <f t="shared" si="121"/>
        <v>0</v>
      </c>
      <c r="AM457" s="25">
        <f t="shared" si="124"/>
        <v>0</v>
      </c>
    </row>
    <row r="458" spans="22:39">
      <c r="V458" s="25">
        <f>K238</f>
        <v>2045</v>
      </c>
      <c r="W458" s="26">
        <f t="shared" si="123"/>
        <v>0</v>
      </c>
      <c r="Y458" s="25">
        <f t="shared" si="122"/>
        <v>2045</v>
      </c>
      <c r="Z458" s="25">
        <f t="shared" si="122"/>
        <v>0</v>
      </c>
      <c r="AK458" s="25">
        <f t="shared" si="121"/>
        <v>0</v>
      </c>
      <c r="AM458" s="25">
        <f t="shared" si="124"/>
        <v>0</v>
      </c>
    </row>
    <row r="459" spans="22:39">
      <c r="V459" s="25">
        <f>K239</f>
        <v>2050</v>
      </c>
      <c r="W459" s="26">
        <f t="shared" si="123"/>
        <v>0</v>
      </c>
      <c r="Y459" s="25">
        <f t="shared" si="122"/>
        <v>2050</v>
      </c>
      <c r="Z459" s="25">
        <f t="shared" si="122"/>
        <v>0</v>
      </c>
      <c r="AK459" s="25">
        <f t="shared" si="121"/>
        <v>0</v>
      </c>
      <c r="AM459" s="25">
        <f t="shared" si="124"/>
        <v>0</v>
      </c>
    </row>
    <row r="460" spans="22:39">
      <c r="V460" s="25">
        <f>K240</f>
        <v>2055</v>
      </c>
      <c r="W460" s="26">
        <f t="shared" si="123"/>
        <v>0</v>
      </c>
      <c r="Y460" s="25">
        <f t="shared" si="122"/>
        <v>2055</v>
      </c>
      <c r="Z460" s="25">
        <f t="shared" si="122"/>
        <v>0</v>
      </c>
      <c r="AK460" s="25">
        <f t="shared" si="121"/>
        <v>0</v>
      </c>
      <c r="AM460" s="25">
        <f t="shared" si="124"/>
        <v>0</v>
      </c>
    </row>
    <row r="461" spans="22:39">
      <c r="V461" s="25">
        <f>K241</f>
        <v>2060</v>
      </c>
      <c r="W461" s="26">
        <f t="shared" si="123"/>
        <v>0</v>
      </c>
      <c r="Y461" s="25">
        <f t="shared" si="122"/>
        <v>2060</v>
      </c>
      <c r="Z461" s="25">
        <f t="shared" si="122"/>
        <v>0</v>
      </c>
      <c r="AK461" s="25">
        <f t="shared" ref="AK461:AK524" si="125">0.5*(V462-V461)*(W461+W462)</f>
        <v>0</v>
      </c>
      <c r="AM461" s="25">
        <f t="shared" si="124"/>
        <v>0</v>
      </c>
    </row>
    <row r="462" spans="22:39">
      <c r="V462" s="25">
        <f>K242</f>
        <v>2065</v>
      </c>
      <c r="W462" s="26">
        <f t="shared" si="123"/>
        <v>0</v>
      </c>
      <c r="Y462" s="25">
        <f t="shared" ref="Y462:Z525" si="126">V462</f>
        <v>2065</v>
      </c>
      <c r="Z462" s="25">
        <f t="shared" si="126"/>
        <v>0</v>
      </c>
      <c r="AK462" s="25">
        <f t="shared" si="125"/>
        <v>0</v>
      </c>
      <c r="AM462" s="25">
        <f t="shared" si="124"/>
        <v>0</v>
      </c>
    </row>
    <row r="463" spans="22:39">
      <c r="V463" s="25">
        <f>K243</f>
        <v>2070</v>
      </c>
      <c r="W463" s="26">
        <f t="shared" ref="W463:W526" si="127">IF(L242=0,0,L242/$T$51)</f>
        <v>0</v>
      </c>
      <c r="Y463" s="25">
        <f t="shared" si="126"/>
        <v>2070</v>
      </c>
      <c r="Z463" s="25">
        <f t="shared" si="126"/>
        <v>0</v>
      </c>
      <c r="AK463" s="25">
        <f t="shared" si="125"/>
        <v>0</v>
      </c>
      <c r="AM463" s="25">
        <f t="shared" si="124"/>
        <v>0</v>
      </c>
    </row>
    <row r="464" spans="22:39">
      <c r="V464" s="25">
        <f>K244</f>
        <v>2075</v>
      </c>
      <c r="W464" s="26">
        <f t="shared" si="127"/>
        <v>0</v>
      </c>
      <c r="Y464" s="25">
        <f t="shared" si="126"/>
        <v>2075</v>
      </c>
      <c r="Z464" s="25">
        <f t="shared" si="126"/>
        <v>0</v>
      </c>
      <c r="AK464" s="25">
        <f t="shared" si="125"/>
        <v>0</v>
      </c>
      <c r="AM464" s="25">
        <f t="shared" si="124"/>
        <v>0</v>
      </c>
    </row>
    <row r="465" spans="22:39">
      <c r="V465" s="25">
        <f>K245</f>
        <v>2080</v>
      </c>
      <c r="W465" s="26">
        <f t="shared" si="127"/>
        <v>0</v>
      </c>
      <c r="Y465" s="25">
        <f t="shared" si="126"/>
        <v>2080</v>
      </c>
      <c r="Z465" s="25">
        <f t="shared" si="126"/>
        <v>0</v>
      </c>
      <c r="AK465" s="25">
        <f t="shared" si="125"/>
        <v>0</v>
      </c>
      <c r="AM465" s="25">
        <f t="shared" si="124"/>
        <v>0</v>
      </c>
    </row>
    <row r="466" spans="22:39">
      <c r="V466" s="25">
        <f>K246</f>
        <v>2085</v>
      </c>
      <c r="W466" s="26">
        <f t="shared" si="127"/>
        <v>0</v>
      </c>
      <c r="Y466" s="25">
        <f t="shared" si="126"/>
        <v>2085</v>
      </c>
      <c r="Z466" s="25">
        <f t="shared" si="126"/>
        <v>0</v>
      </c>
      <c r="AK466" s="25">
        <f t="shared" si="125"/>
        <v>0</v>
      </c>
      <c r="AM466" s="25">
        <f t="shared" si="124"/>
        <v>0</v>
      </c>
    </row>
    <row r="467" spans="22:39">
      <c r="V467" s="25">
        <f>K247</f>
        <v>2090</v>
      </c>
      <c r="W467" s="26">
        <f t="shared" si="127"/>
        <v>0</v>
      </c>
      <c r="Y467" s="25">
        <f t="shared" si="126"/>
        <v>2090</v>
      </c>
      <c r="Z467" s="25">
        <f t="shared" si="126"/>
        <v>0</v>
      </c>
      <c r="AK467" s="25">
        <f t="shared" si="125"/>
        <v>0</v>
      </c>
      <c r="AM467" s="25">
        <f t="shared" si="124"/>
        <v>0</v>
      </c>
    </row>
    <row r="468" spans="22:39">
      <c r="V468" s="25">
        <f>K248</f>
        <v>2095</v>
      </c>
      <c r="W468" s="26">
        <f t="shared" si="127"/>
        <v>0</v>
      </c>
      <c r="Y468" s="25">
        <f t="shared" si="126"/>
        <v>2095</v>
      </c>
      <c r="Z468" s="25">
        <f t="shared" si="126"/>
        <v>0</v>
      </c>
      <c r="AK468" s="25">
        <f t="shared" si="125"/>
        <v>0</v>
      </c>
      <c r="AM468" s="25">
        <f t="shared" si="124"/>
        <v>0</v>
      </c>
    </row>
    <row r="469" spans="22:39">
      <c r="V469" s="25">
        <f>K249</f>
        <v>2100</v>
      </c>
      <c r="W469" s="26">
        <f t="shared" si="127"/>
        <v>0</v>
      </c>
      <c r="Y469" s="25">
        <f t="shared" si="126"/>
        <v>2100</v>
      </c>
      <c r="Z469" s="25">
        <f t="shared" si="126"/>
        <v>0</v>
      </c>
      <c r="AK469" s="25">
        <f t="shared" si="125"/>
        <v>0</v>
      </c>
      <c r="AM469" s="25">
        <f t="shared" si="124"/>
        <v>0</v>
      </c>
    </row>
    <row r="470" spans="22:39">
      <c r="V470" s="25">
        <f>K250</f>
        <v>2105</v>
      </c>
      <c r="W470" s="26">
        <f t="shared" si="127"/>
        <v>0</v>
      </c>
      <c r="Y470" s="25">
        <f t="shared" si="126"/>
        <v>2105</v>
      </c>
      <c r="Z470" s="25">
        <f t="shared" si="126"/>
        <v>0</v>
      </c>
      <c r="AK470" s="25">
        <f t="shared" si="125"/>
        <v>0</v>
      </c>
      <c r="AM470" s="25">
        <f t="shared" si="124"/>
        <v>0</v>
      </c>
    </row>
    <row r="471" spans="22:39">
      <c r="V471" s="25">
        <f>K251</f>
        <v>2110</v>
      </c>
      <c r="W471" s="26">
        <f t="shared" si="127"/>
        <v>0</v>
      </c>
      <c r="Y471" s="25">
        <f t="shared" si="126"/>
        <v>2110</v>
      </c>
      <c r="Z471" s="25">
        <f t="shared" si="126"/>
        <v>0</v>
      </c>
      <c r="AK471" s="25">
        <f t="shared" si="125"/>
        <v>0</v>
      </c>
      <c r="AM471" s="25">
        <f t="shared" si="124"/>
        <v>0</v>
      </c>
    </row>
    <row r="472" spans="22:39">
      <c r="V472" s="25">
        <f>K252</f>
        <v>2115</v>
      </c>
      <c r="W472" s="26">
        <f t="shared" si="127"/>
        <v>0</v>
      </c>
      <c r="Y472" s="25">
        <f t="shared" si="126"/>
        <v>2115</v>
      </c>
      <c r="Z472" s="25">
        <f t="shared" si="126"/>
        <v>0</v>
      </c>
      <c r="AK472" s="25">
        <f t="shared" si="125"/>
        <v>0</v>
      </c>
      <c r="AM472" s="25">
        <f t="shared" si="124"/>
        <v>0</v>
      </c>
    </row>
    <row r="473" spans="22:39">
      <c r="V473" s="25">
        <f>K253</f>
        <v>2120</v>
      </c>
      <c r="W473" s="26">
        <f t="shared" si="127"/>
        <v>0</v>
      </c>
      <c r="Y473" s="25">
        <f t="shared" si="126"/>
        <v>2120</v>
      </c>
      <c r="Z473" s="25">
        <f t="shared" si="126"/>
        <v>0</v>
      </c>
      <c r="AK473" s="25">
        <f t="shared" si="125"/>
        <v>0</v>
      </c>
      <c r="AM473" s="25">
        <f t="shared" si="124"/>
        <v>0</v>
      </c>
    </row>
    <row r="474" spans="22:39">
      <c r="V474" s="25">
        <f>K254</f>
        <v>2125</v>
      </c>
      <c r="W474" s="26">
        <f t="shared" si="127"/>
        <v>0</v>
      </c>
      <c r="Y474" s="25">
        <f t="shared" si="126"/>
        <v>2125</v>
      </c>
      <c r="Z474" s="25">
        <f t="shared" si="126"/>
        <v>0</v>
      </c>
      <c r="AK474" s="25">
        <f t="shared" si="125"/>
        <v>0</v>
      </c>
      <c r="AM474" s="25">
        <f t="shared" si="124"/>
        <v>0</v>
      </c>
    </row>
    <row r="475" spans="22:39">
      <c r="V475" s="25">
        <f>K255</f>
        <v>2130</v>
      </c>
      <c r="W475" s="26">
        <f t="shared" si="127"/>
        <v>0</v>
      </c>
      <c r="Y475" s="25">
        <f t="shared" si="126"/>
        <v>2130</v>
      </c>
      <c r="Z475" s="25">
        <f t="shared" si="126"/>
        <v>0</v>
      </c>
      <c r="AK475" s="25">
        <f t="shared" si="125"/>
        <v>0</v>
      </c>
      <c r="AM475" s="25">
        <f t="shared" si="124"/>
        <v>0</v>
      </c>
    </row>
    <row r="476" spans="22:39">
      <c r="V476" s="25">
        <f>K256</f>
        <v>2135</v>
      </c>
      <c r="W476" s="26">
        <f t="shared" si="127"/>
        <v>0</v>
      </c>
      <c r="Y476" s="25">
        <f t="shared" si="126"/>
        <v>2135</v>
      </c>
      <c r="Z476" s="25">
        <f t="shared" si="126"/>
        <v>0</v>
      </c>
      <c r="AK476" s="25">
        <f t="shared" si="125"/>
        <v>0</v>
      </c>
      <c r="AM476" s="25">
        <f t="shared" si="124"/>
        <v>0</v>
      </c>
    </row>
    <row r="477" spans="22:39">
      <c r="V477" s="25">
        <f>K257</f>
        <v>2140</v>
      </c>
      <c r="W477" s="26">
        <f t="shared" si="127"/>
        <v>0</v>
      </c>
      <c r="Y477" s="25">
        <f t="shared" si="126"/>
        <v>2140</v>
      </c>
      <c r="Z477" s="25">
        <f t="shared" si="126"/>
        <v>0</v>
      </c>
      <c r="AK477" s="25">
        <f t="shared" si="125"/>
        <v>0</v>
      </c>
      <c r="AM477" s="25">
        <f t="shared" si="124"/>
        <v>0</v>
      </c>
    </row>
    <row r="478" spans="22:39">
      <c r="V478" s="25">
        <f>K258</f>
        <v>2145</v>
      </c>
      <c r="W478" s="26">
        <f t="shared" si="127"/>
        <v>0</v>
      </c>
      <c r="Y478" s="25">
        <f t="shared" si="126"/>
        <v>2145</v>
      </c>
      <c r="Z478" s="25">
        <f t="shared" si="126"/>
        <v>0</v>
      </c>
      <c r="AK478" s="25">
        <f t="shared" si="125"/>
        <v>0</v>
      </c>
      <c r="AM478" s="25">
        <f t="shared" si="124"/>
        <v>0</v>
      </c>
    </row>
    <row r="479" spans="22:39">
      <c r="V479" s="25">
        <f>K259</f>
        <v>2150</v>
      </c>
      <c r="W479" s="26">
        <f t="shared" si="127"/>
        <v>0</v>
      </c>
      <c r="Y479" s="25">
        <f t="shared" si="126"/>
        <v>2150</v>
      </c>
      <c r="Z479" s="25">
        <f t="shared" si="126"/>
        <v>0</v>
      </c>
      <c r="AK479" s="25">
        <f t="shared" si="125"/>
        <v>0</v>
      </c>
      <c r="AM479" s="25">
        <f t="shared" si="124"/>
        <v>0</v>
      </c>
    </row>
    <row r="480" spans="22:39">
      <c r="V480" s="25">
        <f>K260</f>
        <v>2155</v>
      </c>
      <c r="W480" s="26">
        <f t="shared" si="127"/>
        <v>0</v>
      </c>
      <c r="Y480" s="25">
        <f t="shared" si="126"/>
        <v>2155</v>
      </c>
      <c r="Z480" s="25">
        <f t="shared" si="126"/>
        <v>0</v>
      </c>
      <c r="AK480" s="25">
        <f t="shared" si="125"/>
        <v>0</v>
      </c>
      <c r="AM480" s="25">
        <f t="shared" si="124"/>
        <v>0</v>
      </c>
    </row>
    <row r="481" spans="22:39">
      <c r="V481" s="25">
        <f>K261</f>
        <v>2160</v>
      </c>
      <c r="W481" s="26">
        <f t="shared" si="127"/>
        <v>0</v>
      </c>
      <c r="Y481" s="25">
        <f t="shared" si="126"/>
        <v>2160</v>
      </c>
      <c r="Z481" s="25">
        <f t="shared" si="126"/>
        <v>0</v>
      </c>
      <c r="AK481" s="25">
        <f t="shared" si="125"/>
        <v>0</v>
      </c>
      <c r="AM481" s="25">
        <f t="shared" si="124"/>
        <v>0</v>
      </c>
    </row>
    <row r="482" spans="22:39">
      <c r="V482" s="25">
        <f>K262</f>
        <v>2165</v>
      </c>
      <c r="W482" s="26">
        <f t="shared" si="127"/>
        <v>0</v>
      </c>
      <c r="Y482" s="25">
        <f t="shared" si="126"/>
        <v>2165</v>
      </c>
      <c r="Z482" s="25">
        <f t="shared" si="126"/>
        <v>0</v>
      </c>
      <c r="AK482" s="25">
        <f t="shared" si="125"/>
        <v>0</v>
      </c>
      <c r="AM482" s="25">
        <f t="shared" si="124"/>
        <v>0</v>
      </c>
    </row>
    <row r="483" spans="22:39">
      <c r="V483" s="25">
        <f>K263</f>
        <v>2170</v>
      </c>
      <c r="W483" s="26">
        <f t="shared" si="127"/>
        <v>0</v>
      </c>
      <c r="Y483" s="25">
        <f t="shared" si="126"/>
        <v>2170</v>
      </c>
      <c r="Z483" s="25">
        <f t="shared" si="126"/>
        <v>0</v>
      </c>
      <c r="AK483" s="25">
        <f t="shared" si="125"/>
        <v>0</v>
      </c>
      <c r="AM483" s="25">
        <f t="shared" si="124"/>
        <v>0</v>
      </c>
    </row>
    <row r="484" spans="22:39">
      <c r="V484" s="25">
        <f>K264</f>
        <v>2175</v>
      </c>
      <c r="W484" s="26">
        <f t="shared" si="127"/>
        <v>0</v>
      </c>
      <c r="Y484" s="25">
        <f t="shared" si="126"/>
        <v>2175</v>
      </c>
      <c r="Z484" s="25">
        <f t="shared" si="126"/>
        <v>0</v>
      </c>
      <c r="AK484" s="25">
        <f t="shared" si="125"/>
        <v>0</v>
      </c>
      <c r="AM484" s="25">
        <f t="shared" si="124"/>
        <v>0</v>
      </c>
    </row>
    <row r="485" spans="22:39">
      <c r="V485" s="25">
        <f>K265</f>
        <v>2180</v>
      </c>
      <c r="W485" s="26">
        <f t="shared" si="127"/>
        <v>0</v>
      </c>
      <c r="Y485" s="25">
        <f t="shared" si="126"/>
        <v>2180</v>
      </c>
      <c r="Z485" s="25">
        <f t="shared" si="126"/>
        <v>0</v>
      </c>
      <c r="AK485" s="25">
        <f t="shared" si="125"/>
        <v>0</v>
      </c>
      <c r="AM485" s="25">
        <f t="shared" si="124"/>
        <v>0</v>
      </c>
    </row>
    <row r="486" spans="22:39">
      <c r="V486" s="25">
        <f>K266</f>
        <v>2185</v>
      </c>
      <c r="W486" s="26">
        <f t="shared" si="127"/>
        <v>0</v>
      </c>
      <c r="Y486" s="25">
        <f t="shared" si="126"/>
        <v>2185</v>
      </c>
      <c r="Z486" s="25">
        <f t="shared" si="126"/>
        <v>0</v>
      </c>
      <c r="AK486" s="25">
        <f t="shared" si="125"/>
        <v>0</v>
      </c>
      <c r="AM486" s="25">
        <f t="shared" si="124"/>
        <v>0</v>
      </c>
    </row>
    <row r="487" spans="22:39">
      <c r="V487" s="25">
        <f>K267</f>
        <v>2190</v>
      </c>
      <c r="W487" s="26">
        <f t="shared" si="127"/>
        <v>0</v>
      </c>
      <c r="Y487" s="25">
        <f t="shared" si="126"/>
        <v>2190</v>
      </c>
      <c r="Z487" s="25">
        <f t="shared" si="126"/>
        <v>0</v>
      </c>
      <c r="AK487" s="25">
        <f t="shared" si="125"/>
        <v>0</v>
      </c>
      <c r="AM487" s="25">
        <f t="shared" si="124"/>
        <v>0</v>
      </c>
    </row>
    <row r="488" spans="22:39">
      <c r="V488" s="25">
        <f>K268</f>
        <v>2195</v>
      </c>
      <c r="W488" s="26">
        <f t="shared" si="127"/>
        <v>0</v>
      </c>
      <c r="Y488" s="25">
        <f t="shared" si="126"/>
        <v>2195</v>
      </c>
      <c r="Z488" s="25">
        <f t="shared" si="126"/>
        <v>0</v>
      </c>
      <c r="AK488" s="25">
        <f t="shared" si="125"/>
        <v>0</v>
      </c>
      <c r="AM488" s="25">
        <f t="shared" si="124"/>
        <v>0</v>
      </c>
    </row>
    <row r="489" spans="22:39">
      <c r="V489" s="25">
        <f>K269</f>
        <v>2200</v>
      </c>
      <c r="W489" s="26">
        <f t="shared" si="127"/>
        <v>0</v>
      </c>
      <c r="Y489" s="25">
        <f t="shared" si="126"/>
        <v>2200</v>
      </c>
      <c r="Z489" s="25">
        <f t="shared" si="126"/>
        <v>0</v>
      </c>
      <c r="AK489" s="25">
        <f t="shared" si="125"/>
        <v>0</v>
      </c>
      <c r="AM489" s="25">
        <f t="shared" si="124"/>
        <v>0</v>
      </c>
    </row>
    <row r="490" spans="22:39">
      <c r="V490" s="25">
        <f>K270</f>
        <v>2205</v>
      </c>
      <c r="W490" s="26">
        <f t="shared" si="127"/>
        <v>0</v>
      </c>
      <c r="Y490" s="25">
        <f t="shared" si="126"/>
        <v>2205</v>
      </c>
      <c r="Z490" s="25">
        <f t="shared" si="126"/>
        <v>0</v>
      </c>
      <c r="AK490" s="25">
        <f t="shared" si="125"/>
        <v>0</v>
      </c>
      <c r="AM490" s="25">
        <f t="shared" si="124"/>
        <v>0</v>
      </c>
    </row>
    <row r="491" spans="22:39">
      <c r="V491" s="25">
        <f>K271</f>
        <v>2210</v>
      </c>
      <c r="W491" s="26">
        <f t="shared" si="127"/>
        <v>0</v>
      </c>
      <c r="Y491" s="25">
        <f t="shared" si="126"/>
        <v>2210</v>
      </c>
      <c r="Z491" s="25">
        <f t="shared" si="126"/>
        <v>0</v>
      </c>
      <c r="AK491" s="25">
        <f t="shared" si="125"/>
        <v>0</v>
      </c>
      <c r="AM491" s="25">
        <f t="shared" si="124"/>
        <v>0</v>
      </c>
    </row>
    <row r="492" spans="22:39">
      <c r="V492" s="25">
        <f>K272</f>
        <v>2215</v>
      </c>
      <c r="W492" s="26">
        <f t="shared" si="127"/>
        <v>0</v>
      </c>
      <c r="Y492" s="25">
        <f t="shared" si="126"/>
        <v>2215</v>
      </c>
      <c r="Z492" s="25">
        <f t="shared" si="126"/>
        <v>0</v>
      </c>
      <c r="AK492" s="25">
        <f t="shared" si="125"/>
        <v>0</v>
      </c>
      <c r="AM492" s="25">
        <f t="shared" si="124"/>
        <v>0</v>
      </c>
    </row>
    <row r="493" spans="22:39">
      <c r="V493" s="25">
        <f>K273</f>
        <v>2220</v>
      </c>
      <c r="W493" s="26">
        <f t="shared" si="127"/>
        <v>0</v>
      </c>
      <c r="Y493" s="25">
        <f t="shared" si="126"/>
        <v>2220</v>
      </c>
      <c r="Z493" s="25">
        <f t="shared" si="126"/>
        <v>0</v>
      </c>
      <c r="AK493" s="25">
        <f t="shared" si="125"/>
        <v>0</v>
      </c>
      <c r="AM493" s="25">
        <f t="shared" si="124"/>
        <v>0</v>
      </c>
    </row>
    <row r="494" spans="22:39">
      <c r="V494" s="25">
        <f>K274</f>
        <v>2225</v>
      </c>
      <c r="W494" s="26">
        <f t="shared" si="127"/>
        <v>0</v>
      </c>
      <c r="Y494" s="25">
        <f t="shared" si="126"/>
        <v>2225</v>
      </c>
      <c r="Z494" s="25">
        <f t="shared" si="126"/>
        <v>0</v>
      </c>
      <c r="AK494" s="25">
        <f t="shared" si="125"/>
        <v>0</v>
      </c>
      <c r="AM494" s="25">
        <f t="shared" si="124"/>
        <v>0</v>
      </c>
    </row>
    <row r="495" spans="22:39">
      <c r="V495" s="25">
        <f>K275</f>
        <v>2230</v>
      </c>
      <c r="W495" s="26">
        <f t="shared" si="127"/>
        <v>0</v>
      </c>
      <c r="Y495" s="25">
        <f t="shared" si="126"/>
        <v>2230</v>
      </c>
      <c r="Z495" s="25">
        <f t="shared" si="126"/>
        <v>0</v>
      </c>
      <c r="AK495" s="25">
        <f t="shared" si="125"/>
        <v>0</v>
      </c>
      <c r="AM495" s="25">
        <f t="shared" si="124"/>
        <v>0</v>
      </c>
    </row>
    <row r="496" spans="22:39">
      <c r="V496" s="25">
        <f>K276</f>
        <v>2235</v>
      </c>
      <c r="W496" s="26">
        <f t="shared" si="127"/>
        <v>0</v>
      </c>
      <c r="Y496" s="25">
        <f t="shared" si="126"/>
        <v>2235</v>
      </c>
      <c r="Z496" s="25">
        <f t="shared" si="126"/>
        <v>0</v>
      </c>
      <c r="AK496" s="25">
        <f t="shared" si="125"/>
        <v>0</v>
      </c>
      <c r="AM496" s="25">
        <f t="shared" si="124"/>
        <v>0</v>
      </c>
    </row>
    <row r="497" spans="22:39">
      <c r="V497" s="25">
        <f>K277</f>
        <v>2240</v>
      </c>
      <c r="W497" s="26">
        <f t="shared" si="127"/>
        <v>0</v>
      </c>
      <c r="Y497" s="25">
        <f t="shared" si="126"/>
        <v>2240</v>
      </c>
      <c r="Z497" s="25">
        <f t="shared" si="126"/>
        <v>0</v>
      </c>
      <c r="AK497" s="25">
        <f t="shared" si="125"/>
        <v>0</v>
      </c>
      <c r="AM497" s="25">
        <f t="shared" si="124"/>
        <v>0</v>
      </c>
    </row>
    <row r="498" spans="22:39">
      <c r="V498" s="25">
        <f>K278</f>
        <v>2245</v>
      </c>
      <c r="W498" s="26">
        <f t="shared" si="127"/>
        <v>0</v>
      </c>
      <c r="Y498" s="25">
        <f t="shared" si="126"/>
        <v>2245</v>
      </c>
      <c r="Z498" s="25">
        <f t="shared" si="126"/>
        <v>0</v>
      </c>
      <c r="AK498" s="25">
        <f t="shared" si="125"/>
        <v>0</v>
      </c>
      <c r="AM498" s="25">
        <f t="shared" si="124"/>
        <v>0</v>
      </c>
    </row>
    <row r="499" spans="22:39">
      <c r="V499" s="25">
        <f>K279</f>
        <v>2250</v>
      </c>
      <c r="W499" s="26">
        <f t="shared" si="127"/>
        <v>0</v>
      </c>
      <c r="Y499" s="25">
        <f t="shared" si="126"/>
        <v>2250</v>
      </c>
      <c r="Z499" s="25">
        <f t="shared" si="126"/>
        <v>0</v>
      </c>
      <c r="AK499" s="25">
        <f t="shared" si="125"/>
        <v>0</v>
      </c>
      <c r="AM499" s="25">
        <f t="shared" si="124"/>
        <v>0</v>
      </c>
    </row>
    <row r="500" spans="22:39">
      <c r="V500" s="25">
        <f>K280</f>
        <v>2255</v>
      </c>
      <c r="W500" s="26">
        <f t="shared" si="127"/>
        <v>0</v>
      </c>
      <c r="Y500" s="25">
        <f t="shared" si="126"/>
        <v>2255</v>
      </c>
      <c r="Z500" s="25">
        <f t="shared" si="126"/>
        <v>0</v>
      </c>
      <c r="AK500" s="25">
        <f t="shared" si="125"/>
        <v>0</v>
      </c>
      <c r="AM500" s="25">
        <f t="shared" si="124"/>
        <v>0</v>
      </c>
    </row>
    <row r="501" spans="22:39">
      <c r="V501" s="25">
        <f>K281</f>
        <v>2260</v>
      </c>
      <c r="W501" s="26">
        <f t="shared" si="127"/>
        <v>0</v>
      </c>
      <c r="Y501" s="25">
        <f t="shared" si="126"/>
        <v>2260</v>
      </c>
      <c r="Z501" s="25">
        <f t="shared" si="126"/>
        <v>0</v>
      </c>
      <c r="AK501" s="25">
        <f t="shared" si="125"/>
        <v>0</v>
      </c>
      <c r="AM501" s="25">
        <f t="shared" si="124"/>
        <v>0</v>
      </c>
    </row>
    <row r="502" spans="22:39">
      <c r="V502" s="25">
        <f>K282</f>
        <v>2265</v>
      </c>
      <c r="W502" s="26">
        <f t="shared" si="127"/>
        <v>0</v>
      </c>
      <c r="Y502" s="25">
        <f t="shared" si="126"/>
        <v>2265</v>
      </c>
      <c r="Z502" s="25">
        <f t="shared" si="126"/>
        <v>0</v>
      </c>
      <c r="AK502" s="25">
        <f t="shared" si="125"/>
        <v>0</v>
      </c>
      <c r="AM502" s="25">
        <f t="shared" si="124"/>
        <v>0</v>
      </c>
    </row>
    <row r="503" spans="22:39">
      <c r="V503" s="25">
        <f>K283</f>
        <v>2270</v>
      </c>
      <c r="W503" s="26">
        <f t="shared" si="127"/>
        <v>0</v>
      </c>
      <c r="Y503" s="25">
        <f t="shared" si="126"/>
        <v>2270</v>
      </c>
      <c r="Z503" s="25">
        <f t="shared" si="126"/>
        <v>0</v>
      </c>
      <c r="AK503" s="25">
        <f t="shared" si="125"/>
        <v>0</v>
      </c>
      <c r="AM503" s="25">
        <f t="shared" si="124"/>
        <v>0</v>
      </c>
    </row>
    <row r="504" spans="22:39">
      <c r="V504" s="25">
        <f>K284</f>
        <v>2275</v>
      </c>
      <c r="W504" s="26">
        <f t="shared" si="127"/>
        <v>0</v>
      </c>
      <c r="Y504" s="25">
        <f t="shared" si="126"/>
        <v>2275</v>
      </c>
      <c r="Z504" s="25">
        <f t="shared" si="126"/>
        <v>0</v>
      </c>
      <c r="AK504" s="25">
        <f t="shared" si="125"/>
        <v>0</v>
      </c>
      <c r="AM504" s="25">
        <f t="shared" ref="AM504:AM567" si="128">0.5*(V505-V504)*(W504+W505)</f>
        <v>0</v>
      </c>
    </row>
    <row r="505" spans="22:39">
      <c r="V505" s="25">
        <f>K285</f>
        <v>2280</v>
      </c>
      <c r="W505" s="26">
        <f t="shared" si="127"/>
        <v>0</v>
      </c>
      <c r="Y505" s="25">
        <f t="shared" si="126"/>
        <v>2280</v>
      </c>
      <c r="Z505" s="25">
        <f t="shared" si="126"/>
        <v>0</v>
      </c>
      <c r="AK505" s="25">
        <f t="shared" si="125"/>
        <v>0</v>
      </c>
      <c r="AM505" s="25">
        <f t="shared" si="128"/>
        <v>0</v>
      </c>
    </row>
    <row r="506" spans="22:39">
      <c r="V506" s="25">
        <f>K286</f>
        <v>2285</v>
      </c>
      <c r="W506" s="26">
        <f t="shared" si="127"/>
        <v>0</v>
      </c>
      <c r="Y506" s="25">
        <f t="shared" si="126"/>
        <v>2285</v>
      </c>
      <c r="Z506" s="25">
        <f t="shared" si="126"/>
        <v>0</v>
      </c>
      <c r="AK506" s="25">
        <f t="shared" si="125"/>
        <v>0</v>
      </c>
      <c r="AM506" s="25">
        <f t="shared" si="128"/>
        <v>0</v>
      </c>
    </row>
    <row r="507" spans="22:39">
      <c r="V507" s="25">
        <f>K287</f>
        <v>2290</v>
      </c>
      <c r="W507" s="26">
        <f t="shared" si="127"/>
        <v>0</v>
      </c>
      <c r="Y507" s="25">
        <f t="shared" si="126"/>
        <v>2290</v>
      </c>
      <c r="Z507" s="25">
        <f t="shared" si="126"/>
        <v>0</v>
      </c>
      <c r="AK507" s="25">
        <f t="shared" si="125"/>
        <v>0</v>
      </c>
      <c r="AM507" s="25">
        <f t="shared" si="128"/>
        <v>0</v>
      </c>
    </row>
    <row r="508" spans="22:39">
      <c r="V508" s="25">
        <f>K288</f>
        <v>2295</v>
      </c>
      <c r="W508" s="26">
        <f t="shared" si="127"/>
        <v>0</v>
      </c>
      <c r="Y508" s="25">
        <f t="shared" si="126"/>
        <v>2295</v>
      </c>
      <c r="Z508" s="25">
        <f t="shared" si="126"/>
        <v>0</v>
      </c>
      <c r="AK508" s="25">
        <f t="shared" si="125"/>
        <v>0</v>
      </c>
      <c r="AM508" s="25">
        <f t="shared" si="128"/>
        <v>0</v>
      </c>
    </row>
    <row r="509" spans="22:39">
      <c r="V509" s="25">
        <f>K289</f>
        <v>2300</v>
      </c>
      <c r="W509" s="26">
        <f t="shared" si="127"/>
        <v>0</v>
      </c>
      <c r="Y509" s="25">
        <f t="shared" si="126"/>
        <v>2300</v>
      </c>
      <c r="Z509" s="25">
        <f t="shared" si="126"/>
        <v>0</v>
      </c>
      <c r="AK509" s="25">
        <f t="shared" si="125"/>
        <v>0</v>
      </c>
      <c r="AM509" s="25">
        <f t="shared" si="128"/>
        <v>0</v>
      </c>
    </row>
    <row r="510" spans="22:39">
      <c r="V510" s="25">
        <f>K290</f>
        <v>2305</v>
      </c>
      <c r="W510" s="26">
        <f t="shared" si="127"/>
        <v>0</v>
      </c>
      <c r="Y510" s="25">
        <f t="shared" si="126"/>
        <v>2305</v>
      </c>
      <c r="Z510" s="25">
        <f t="shared" si="126"/>
        <v>0</v>
      </c>
      <c r="AK510" s="25">
        <f t="shared" si="125"/>
        <v>0</v>
      </c>
      <c r="AM510" s="25">
        <f t="shared" si="128"/>
        <v>0</v>
      </c>
    </row>
    <row r="511" spans="22:39">
      <c r="V511" s="25">
        <f>K291</f>
        <v>2310</v>
      </c>
      <c r="W511" s="26">
        <f t="shared" si="127"/>
        <v>0</v>
      </c>
      <c r="Y511" s="25">
        <f t="shared" si="126"/>
        <v>2310</v>
      </c>
      <c r="Z511" s="25">
        <f t="shared" si="126"/>
        <v>0</v>
      </c>
      <c r="AK511" s="25">
        <f t="shared" si="125"/>
        <v>0</v>
      </c>
      <c r="AM511" s="25">
        <f t="shared" si="128"/>
        <v>0</v>
      </c>
    </row>
    <row r="512" spans="22:39">
      <c r="V512" s="25">
        <f>K292</f>
        <v>2315</v>
      </c>
      <c r="W512" s="26">
        <f t="shared" si="127"/>
        <v>0</v>
      </c>
      <c r="Y512" s="25">
        <f t="shared" si="126"/>
        <v>2315</v>
      </c>
      <c r="Z512" s="25">
        <f t="shared" si="126"/>
        <v>0</v>
      </c>
      <c r="AK512" s="25">
        <f t="shared" si="125"/>
        <v>0</v>
      </c>
      <c r="AM512" s="25">
        <f t="shared" si="128"/>
        <v>0</v>
      </c>
    </row>
    <row r="513" spans="22:39">
      <c r="V513" s="25">
        <f>K293</f>
        <v>2320</v>
      </c>
      <c r="W513" s="26">
        <f t="shared" si="127"/>
        <v>0</v>
      </c>
      <c r="Y513" s="25">
        <f t="shared" si="126"/>
        <v>2320</v>
      </c>
      <c r="Z513" s="25">
        <f t="shared" si="126"/>
        <v>0</v>
      </c>
      <c r="AK513" s="25">
        <f t="shared" si="125"/>
        <v>0</v>
      </c>
      <c r="AM513" s="25">
        <f t="shared" si="128"/>
        <v>0</v>
      </c>
    </row>
    <row r="514" spans="22:39">
      <c r="V514" s="25">
        <f>K294</f>
        <v>2325</v>
      </c>
      <c r="W514" s="26">
        <f t="shared" si="127"/>
        <v>0</v>
      </c>
      <c r="Y514" s="25">
        <f t="shared" si="126"/>
        <v>2325</v>
      </c>
      <c r="Z514" s="25">
        <f t="shared" si="126"/>
        <v>0</v>
      </c>
      <c r="AK514" s="25">
        <f t="shared" si="125"/>
        <v>0</v>
      </c>
      <c r="AM514" s="25">
        <f t="shared" si="128"/>
        <v>0</v>
      </c>
    </row>
    <row r="515" spans="22:39">
      <c r="V515" s="25">
        <f>K295</f>
        <v>2330</v>
      </c>
      <c r="W515" s="26">
        <f t="shared" si="127"/>
        <v>0</v>
      </c>
      <c r="Y515" s="25">
        <f t="shared" si="126"/>
        <v>2330</v>
      </c>
      <c r="Z515" s="25">
        <f t="shared" si="126"/>
        <v>0</v>
      </c>
      <c r="AK515" s="25">
        <f t="shared" si="125"/>
        <v>0</v>
      </c>
      <c r="AM515" s="25">
        <f t="shared" si="128"/>
        <v>0</v>
      </c>
    </row>
    <row r="516" spans="22:39">
      <c r="V516" s="25">
        <f>K296</f>
        <v>2335</v>
      </c>
      <c r="W516" s="26">
        <f t="shared" si="127"/>
        <v>0</v>
      </c>
      <c r="Y516" s="25">
        <f t="shared" si="126"/>
        <v>2335</v>
      </c>
      <c r="Z516" s="25">
        <f t="shared" si="126"/>
        <v>0</v>
      </c>
      <c r="AK516" s="25">
        <f t="shared" si="125"/>
        <v>0</v>
      </c>
      <c r="AM516" s="25">
        <f t="shared" si="128"/>
        <v>0</v>
      </c>
    </row>
    <row r="517" spans="22:39">
      <c r="V517" s="25">
        <f>K297</f>
        <v>2340</v>
      </c>
      <c r="W517" s="26">
        <f t="shared" si="127"/>
        <v>0</v>
      </c>
      <c r="Y517" s="25">
        <f t="shared" si="126"/>
        <v>2340</v>
      </c>
      <c r="Z517" s="25">
        <f t="shared" si="126"/>
        <v>0</v>
      </c>
      <c r="AK517" s="25">
        <f t="shared" si="125"/>
        <v>0</v>
      </c>
      <c r="AM517" s="25">
        <f t="shared" si="128"/>
        <v>0</v>
      </c>
    </row>
    <row r="518" spans="22:39">
      <c r="V518" s="25">
        <f>K298</f>
        <v>2345</v>
      </c>
      <c r="W518" s="26">
        <f t="shared" si="127"/>
        <v>0</v>
      </c>
      <c r="Y518" s="25">
        <f t="shared" si="126"/>
        <v>2345</v>
      </c>
      <c r="Z518" s="25">
        <f t="shared" si="126"/>
        <v>0</v>
      </c>
      <c r="AK518" s="25">
        <f t="shared" si="125"/>
        <v>0</v>
      </c>
      <c r="AM518" s="25">
        <f t="shared" si="128"/>
        <v>0</v>
      </c>
    </row>
    <row r="519" spans="22:39">
      <c r="V519" s="25">
        <f>K299</f>
        <v>2350</v>
      </c>
      <c r="W519" s="26">
        <f t="shared" si="127"/>
        <v>0</v>
      </c>
      <c r="Y519" s="25">
        <f t="shared" si="126"/>
        <v>2350</v>
      </c>
      <c r="Z519" s="25">
        <f t="shared" si="126"/>
        <v>0</v>
      </c>
      <c r="AK519" s="25">
        <f t="shared" si="125"/>
        <v>0</v>
      </c>
      <c r="AM519" s="25">
        <f t="shared" si="128"/>
        <v>0</v>
      </c>
    </row>
    <row r="520" spans="22:39">
      <c r="V520" s="25">
        <f>K300</f>
        <v>2355</v>
      </c>
      <c r="W520" s="26">
        <f t="shared" si="127"/>
        <v>0</v>
      </c>
      <c r="Y520" s="25">
        <f t="shared" si="126"/>
        <v>2355</v>
      </c>
      <c r="Z520" s="25">
        <f t="shared" si="126"/>
        <v>0</v>
      </c>
      <c r="AK520" s="25">
        <f t="shared" si="125"/>
        <v>0</v>
      </c>
      <c r="AM520" s="25">
        <f t="shared" si="128"/>
        <v>0</v>
      </c>
    </row>
    <row r="521" spans="22:39">
      <c r="V521" s="25">
        <f>K301</f>
        <v>2360</v>
      </c>
      <c r="W521" s="26">
        <f t="shared" si="127"/>
        <v>0</v>
      </c>
      <c r="Y521" s="25">
        <f t="shared" si="126"/>
        <v>2360</v>
      </c>
      <c r="Z521" s="25">
        <f t="shared" si="126"/>
        <v>0</v>
      </c>
      <c r="AK521" s="25">
        <f t="shared" si="125"/>
        <v>0</v>
      </c>
      <c r="AM521" s="25">
        <f t="shared" si="128"/>
        <v>0</v>
      </c>
    </row>
    <row r="522" spans="22:39">
      <c r="V522" s="25">
        <f>K302</f>
        <v>2365</v>
      </c>
      <c r="W522" s="26">
        <f t="shared" si="127"/>
        <v>0</v>
      </c>
      <c r="Y522" s="25">
        <f t="shared" si="126"/>
        <v>2365</v>
      </c>
      <c r="Z522" s="25">
        <f t="shared" si="126"/>
        <v>0</v>
      </c>
      <c r="AK522" s="25">
        <f t="shared" si="125"/>
        <v>0</v>
      </c>
      <c r="AM522" s="25">
        <f t="shared" si="128"/>
        <v>0</v>
      </c>
    </row>
    <row r="523" spans="22:39">
      <c r="V523" s="25">
        <f>K303</f>
        <v>2370</v>
      </c>
      <c r="W523" s="26">
        <f t="shared" si="127"/>
        <v>0</v>
      </c>
      <c r="Y523" s="25">
        <f t="shared" si="126"/>
        <v>2370</v>
      </c>
      <c r="Z523" s="25">
        <f t="shared" si="126"/>
        <v>0</v>
      </c>
      <c r="AK523" s="25">
        <f t="shared" si="125"/>
        <v>0</v>
      </c>
      <c r="AM523" s="25">
        <f t="shared" si="128"/>
        <v>0</v>
      </c>
    </row>
    <row r="524" spans="22:39">
      <c r="V524" s="25">
        <f>K304</f>
        <v>2375</v>
      </c>
      <c r="W524" s="26">
        <f t="shared" si="127"/>
        <v>0</v>
      </c>
      <c r="Y524" s="25">
        <f t="shared" si="126"/>
        <v>2375</v>
      </c>
      <c r="Z524" s="25">
        <f t="shared" si="126"/>
        <v>0</v>
      </c>
      <c r="AK524" s="25">
        <f t="shared" si="125"/>
        <v>0</v>
      </c>
      <c r="AM524" s="25">
        <f t="shared" si="128"/>
        <v>0</v>
      </c>
    </row>
    <row r="525" spans="22:39">
      <c r="V525" s="25">
        <f>K305</f>
        <v>2380</v>
      </c>
      <c r="W525" s="26">
        <f t="shared" si="127"/>
        <v>0</v>
      </c>
      <c r="Y525" s="25">
        <f t="shared" si="126"/>
        <v>2380</v>
      </c>
      <c r="Z525" s="25">
        <f t="shared" si="126"/>
        <v>0</v>
      </c>
      <c r="AK525" s="25">
        <f t="shared" ref="AK525:AK588" si="129">0.5*(V526-V525)*(W525+W526)</f>
        <v>0</v>
      </c>
      <c r="AM525" s="25">
        <f t="shared" si="128"/>
        <v>0</v>
      </c>
    </row>
    <row r="526" spans="22:39">
      <c r="V526" s="25">
        <f>K306</f>
        <v>2385</v>
      </c>
      <c r="W526" s="26">
        <f t="shared" si="127"/>
        <v>0</v>
      </c>
      <c r="Y526" s="25">
        <f t="shared" ref="Y526:Z589" si="130">V526</f>
        <v>2385</v>
      </c>
      <c r="Z526" s="25">
        <f t="shared" si="130"/>
        <v>0</v>
      </c>
      <c r="AK526" s="25">
        <f t="shared" si="129"/>
        <v>0</v>
      </c>
      <c r="AM526" s="25">
        <f t="shared" si="128"/>
        <v>0</v>
      </c>
    </row>
    <row r="527" spans="22:39">
      <c r="V527" s="25">
        <f>K307</f>
        <v>2390</v>
      </c>
      <c r="W527" s="26">
        <f t="shared" ref="W527:W590" si="131">IF(L306=0,0,L306/$T$51)</f>
        <v>0</v>
      </c>
      <c r="Y527" s="25">
        <f t="shared" si="130"/>
        <v>2390</v>
      </c>
      <c r="Z527" s="25">
        <f t="shared" si="130"/>
        <v>0</v>
      </c>
      <c r="AK527" s="25">
        <f t="shared" si="129"/>
        <v>0</v>
      </c>
      <c r="AM527" s="25">
        <f t="shared" si="128"/>
        <v>0</v>
      </c>
    </row>
    <row r="528" spans="22:39">
      <c r="V528" s="25">
        <f>K308</f>
        <v>2395</v>
      </c>
      <c r="W528" s="26">
        <f t="shared" si="131"/>
        <v>0</v>
      </c>
      <c r="Y528" s="25">
        <f t="shared" si="130"/>
        <v>2395</v>
      </c>
      <c r="Z528" s="25">
        <f t="shared" si="130"/>
        <v>0</v>
      </c>
      <c r="AK528" s="25">
        <f t="shared" si="129"/>
        <v>0</v>
      </c>
      <c r="AM528" s="25">
        <f t="shared" si="128"/>
        <v>0</v>
      </c>
    </row>
    <row r="529" spans="22:39">
      <c r="V529" s="25">
        <f>K309</f>
        <v>2400</v>
      </c>
      <c r="W529" s="26">
        <f t="shared" si="131"/>
        <v>0</v>
      </c>
      <c r="Y529" s="25">
        <f t="shared" si="130"/>
        <v>2400</v>
      </c>
      <c r="Z529" s="25">
        <f t="shared" si="130"/>
        <v>0</v>
      </c>
      <c r="AK529" s="25">
        <f t="shared" si="129"/>
        <v>0</v>
      </c>
      <c r="AM529" s="25">
        <f t="shared" si="128"/>
        <v>0</v>
      </c>
    </row>
    <row r="530" spans="22:39">
      <c r="V530" s="25">
        <f>K310</f>
        <v>2405</v>
      </c>
      <c r="W530" s="26">
        <f t="shared" si="131"/>
        <v>0</v>
      </c>
      <c r="Y530" s="25">
        <f t="shared" si="130"/>
        <v>2405</v>
      </c>
      <c r="Z530" s="25">
        <f t="shared" si="130"/>
        <v>0</v>
      </c>
      <c r="AK530" s="25">
        <f t="shared" si="129"/>
        <v>0</v>
      </c>
      <c r="AM530" s="25">
        <f t="shared" si="128"/>
        <v>0</v>
      </c>
    </row>
    <row r="531" spans="22:39">
      <c r="V531" s="25">
        <f>K311</f>
        <v>2410</v>
      </c>
      <c r="W531" s="26">
        <f t="shared" si="131"/>
        <v>0</v>
      </c>
      <c r="Y531" s="25">
        <f t="shared" si="130"/>
        <v>2410</v>
      </c>
      <c r="Z531" s="25">
        <f t="shared" si="130"/>
        <v>0</v>
      </c>
      <c r="AK531" s="25">
        <f t="shared" si="129"/>
        <v>0</v>
      </c>
      <c r="AM531" s="25">
        <f t="shared" si="128"/>
        <v>0</v>
      </c>
    </row>
    <row r="532" spans="22:39">
      <c r="V532" s="25">
        <f>K312</f>
        <v>2415</v>
      </c>
      <c r="W532" s="26">
        <f t="shared" si="131"/>
        <v>0</v>
      </c>
      <c r="Y532" s="25">
        <f t="shared" si="130"/>
        <v>2415</v>
      </c>
      <c r="Z532" s="25">
        <f t="shared" si="130"/>
        <v>0</v>
      </c>
      <c r="AK532" s="25">
        <f t="shared" si="129"/>
        <v>0</v>
      </c>
      <c r="AM532" s="25">
        <f t="shared" si="128"/>
        <v>0</v>
      </c>
    </row>
    <row r="533" spans="22:39">
      <c r="V533" s="25">
        <f>K313</f>
        <v>2420</v>
      </c>
      <c r="W533" s="26">
        <f t="shared" si="131"/>
        <v>0</v>
      </c>
      <c r="Y533" s="25">
        <f t="shared" si="130"/>
        <v>2420</v>
      </c>
      <c r="Z533" s="25">
        <f t="shared" si="130"/>
        <v>0</v>
      </c>
      <c r="AK533" s="25">
        <f t="shared" si="129"/>
        <v>0</v>
      </c>
      <c r="AM533" s="25">
        <f t="shared" si="128"/>
        <v>0</v>
      </c>
    </row>
    <row r="534" spans="22:39">
      <c r="V534" s="25">
        <f>K314</f>
        <v>2425</v>
      </c>
      <c r="W534" s="26">
        <f t="shared" si="131"/>
        <v>0</v>
      </c>
      <c r="Y534" s="25">
        <f t="shared" si="130"/>
        <v>2425</v>
      </c>
      <c r="Z534" s="25">
        <f t="shared" si="130"/>
        <v>0</v>
      </c>
      <c r="AK534" s="25">
        <f t="shared" si="129"/>
        <v>0</v>
      </c>
      <c r="AM534" s="25">
        <f t="shared" si="128"/>
        <v>0</v>
      </c>
    </row>
    <row r="535" spans="22:39">
      <c r="V535" s="25">
        <f>K315</f>
        <v>2430</v>
      </c>
      <c r="W535" s="26">
        <f t="shared" si="131"/>
        <v>0</v>
      </c>
      <c r="Y535" s="25">
        <f t="shared" si="130"/>
        <v>2430</v>
      </c>
      <c r="Z535" s="25">
        <f t="shared" si="130"/>
        <v>0</v>
      </c>
      <c r="AK535" s="25">
        <f t="shared" si="129"/>
        <v>0</v>
      </c>
      <c r="AM535" s="25">
        <f t="shared" si="128"/>
        <v>0</v>
      </c>
    </row>
    <row r="536" spans="22:39">
      <c r="V536" s="25">
        <f>K316</f>
        <v>2435</v>
      </c>
      <c r="W536" s="26">
        <f t="shared" si="131"/>
        <v>0</v>
      </c>
      <c r="Y536" s="25">
        <f t="shared" si="130"/>
        <v>2435</v>
      </c>
      <c r="Z536" s="25">
        <f t="shared" si="130"/>
        <v>0</v>
      </c>
      <c r="AK536" s="25">
        <f t="shared" si="129"/>
        <v>0</v>
      </c>
      <c r="AM536" s="25">
        <f t="shared" si="128"/>
        <v>0</v>
      </c>
    </row>
    <row r="537" spans="22:39">
      <c r="V537" s="25">
        <f>K317</f>
        <v>2440</v>
      </c>
      <c r="W537" s="26">
        <f t="shared" si="131"/>
        <v>0</v>
      </c>
      <c r="Y537" s="25">
        <f t="shared" si="130"/>
        <v>2440</v>
      </c>
      <c r="Z537" s="25">
        <f t="shared" si="130"/>
        <v>0</v>
      </c>
      <c r="AK537" s="25">
        <f t="shared" si="129"/>
        <v>0</v>
      </c>
      <c r="AM537" s="25">
        <f t="shared" si="128"/>
        <v>0</v>
      </c>
    </row>
    <row r="538" spans="22:39">
      <c r="V538" s="25">
        <f>K318</f>
        <v>2445</v>
      </c>
      <c r="W538" s="26">
        <f t="shared" si="131"/>
        <v>0</v>
      </c>
      <c r="Y538" s="25">
        <f t="shared" si="130"/>
        <v>2445</v>
      </c>
      <c r="Z538" s="25">
        <f t="shared" si="130"/>
        <v>0</v>
      </c>
      <c r="AK538" s="25">
        <f t="shared" si="129"/>
        <v>0</v>
      </c>
      <c r="AM538" s="25">
        <f t="shared" si="128"/>
        <v>0</v>
      </c>
    </row>
    <row r="539" spans="22:39">
      <c r="V539" s="25">
        <f>K319</f>
        <v>2450</v>
      </c>
      <c r="W539" s="26">
        <f t="shared" si="131"/>
        <v>0</v>
      </c>
      <c r="Y539" s="25">
        <f t="shared" si="130"/>
        <v>2450</v>
      </c>
      <c r="Z539" s="25">
        <f t="shared" si="130"/>
        <v>0</v>
      </c>
      <c r="AK539" s="25">
        <f t="shared" si="129"/>
        <v>0</v>
      </c>
      <c r="AM539" s="25">
        <f t="shared" si="128"/>
        <v>0</v>
      </c>
    </row>
    <row r="540" spans="22:39">
      <c r="V540" s="25">
        <f>K320</f>
        <v>2455</v>
      </c>
      <c r="W540" s="26">
        <f t="shared" si="131"/>
        <v>0</v>
      </c>
      <c r="Y540" s="25">
        <f t="shared" si="130"/>
        <v>2455</v>
      </c>
      <c r="Z540" s="25">
        <f t="shared" si="130"/>
        <v>0</v>
      </c>
      <c r="AK540" s="25">
        <f t="shared" si="129"/>
        <v>0</v>
      </c>
      <c r="AM540" s="25">
        <f t="shared" si="128"/>
        <v>0</v>
      </c>
    </row>
    <row r="541" spans="22:39">
      <c r="V541" s="25">
        <f>K321</f>
        <v>2460</v>
      </c>
      <c r="W541" s="26">
        <f t="shared" si="131"/>
        <v>0</v>
      </c>
      <c r="Y541" s="25">
        <f t="shared" si="130"/>
        <v>2460</v>
      </c>
      <c r="Z541" s="25">
        <f t="shared" si="130"/>
        <v>0</v>
      </c>
      <c r="AK541" s="25">
        <f t="shared" si="129"/>
        <v>0</v>
      </c>
      <c r="AM541" s="25">
        <f t="shared" si="128"/>
        <v>0</v>
      </c>
    </row>
    <row r="542" spans="22:39">
      <c r="V542" s="25">
        <f>K322</f>
        <v>2465</v>
      </c>
      <c r="W542" s="26">
        <f t="shared" si="131"/>
        <v>0</v>
      </c>
      <c r="Y542" s="25">
        <f t="shared" si="130"/>
        <v>2465</v>
      </c>
      <c r="Z542" s="25">
        <f t="shared" si="130"/>
        <v>0</v>
      </c>
      <c r="AK542" s="25">
        <f t="shared" si="129"/>
        <v>0</v>
      </c>
      <c r="AM542" s="25">
        <f t="shared" si="128"/>
        <v>0</v>
      </c>
    </row>
    <row r="543" spans="22:39">
      <c r="V543" s="25">
        <f>K323</f>
        <v>2470</v>
      </c>
      <c r="W543" s="26">
        <f t="shared" si="131"/>
        <v>0</v>
      </c>
      <c r="Y543" s="25">
        <f t="shared" si="130"/>
        <v>2470</v>
      </c>
      <c r="Z543" s="25">
        <f t="shared" si="130"/>
        <v>0</v>
      </c>
      <c r="AK543" s="25">
        <f t="shared" si="129"/>
        <v>0</v>
      </c>
      <c r="AM543" s="25">
        <f t="shared" si="128"/>
        <v>0</v>
      </c>
    </row>
    <row r="544" spans="22:39">
      <c r="V544" s="25">
        <f>K324</f>
        <v>2475</v>
      </c>
      <c r="W544" s="26">
        <f t="shared" si="131"/>
        <v>0</v>
      </c>
      <c r="Y544" s="25">
        <f t="shared" si="130"/>
        <v>2475</v>
      </c>
      <c r="Z544" s="25">
        <f t="shared" si="130"/>
        <v>0</v>
      </c>
      <c r="AK544" s="25">
        <f t="shared" si="129"/>
        <v>0</v>
      </c>
      <c r="AM544" s="25">
        <f t="shared" si="128"/>
        <v>0</v>
      </c>
    </row>
    <row r="545" spans="22:39">
      <c r="V545" s="25">
        <f>K325</f>
        <v>2480</v>
      </c>
      <c r="W545" s="26">
        <f t="shared" si="131"/>
        <v>0</v>
      </c>
      <c r="Y545" s="25">
        <f t="shared" si="130"/>
        <v>2480</v>
      </c>
      <c r="Z545" s="25">
        <f t="shared" si="130"/>
        <v>0</v>
      </c>
      <c r="AK545" s="25">
        <f t="shared" si="129"/>
        <v>0</v>
      </c>
      <c r="AM545" s="25">
        <f t="shared" si="128"/>
        <v>0</v>
      </c>
    </row>
    <row r="546" spans="22:39">
      <c r="V546" s="25">
        <f>K326</f>
        <v>2485</v>
      </c>
      <c r="W546" s="26">
        <f t="shared" si="131"/>
        <v>0</v>
      </c>
      <c r="Y546" s="25">
        <f t="shared" si="130"/>
        <v>2485</v>
      </c>
      <c r="Z546" s="25">
        <f t="shared" si="130"/>
        <v>0</v>
      </c>
      <c r="AK546" s="25">
        <f t="shared" si="129"/>
        <v>0</v>
      </c>
      <c r="AM546" s="25">
        <f t="shared" si="128"/>
        <v>0</v>
      </c>
    </row>
    <row r="547" spans="22:39">
      <c r="V547" s="25">
        <f>K327</f>
        <v>2490</v>
      </c>
      <c r="W547" s="26">
        <f t="shared" si="131"/>
        <v>0</v>
      </c>
      <c r="Y547" s="25">
        <f t="shared" si="130"/>
        <v>2490</v>
      </c>
      <c r="Z547" s="25">
        <f t="shared" si="130"/>
        <v>0</v>
      </c>
      <c r="AK547" s="25">
        <f t="shared" si="129"/>
        <v>0</v>
      </c>
      <c r="AM547" s="25">
        <f t="shared" si="128"/>
        <v>0</v>
      </c>
    </row>
    <row r="548" spans="22:39">
      <c r="V548" s="25">
        <f>K328</f>
        <v>2495</v>
      </c>
      <c r="W548" s="26">
        <f t="shared" si="131"/>
        <v>0</v>
      </c>
      <c r="Y548" s="25">
        <f t="shared" si="130"/>
        <v>2495</v>
      </c>
      <c r="Z548" s="25">
        <f t="shared" si="130"/>
        <v>0</v>
      </c>
      <c r="AK548" s="25">
        <f t="shared" si="129"/>
        <v>0</v>
      </c>
      <c r="AM548" s="25">
        <f t="shared" si="128"/>
        <v>0</v>
      </c>
    </row>
    <row r="549" spans="22:39">
      <c r="V549" s="25">
        <f>K329</f>
        <v>2500</v>
      </c>
      <c r="W549" s="26">
        <f t="shared" si="131"/>
        <v>0</v>
      </c>
      <c r="Y549" s="25">
        <f t="shared" si="130"/>
        <v>2500</v>
      </c>
      <c r="Z549" s="25">
        <f t="shared" si="130"/>
        <v>0</v>
      </c>
      <c r="AK549" s="25">
        <f t="shared" si="129"/>
        <v>0</v>
      </c>
      <c r="AM549" s="25">
        <f t="shared" si="128"/>
        <v>0</v>
      </c>
    </row>
    <row r="550" spans="22:39">
      <c r="V550" s="25">
        <f>K330</f>
        <v>2505</v>
      </c>
      <c r="W550" s="26">
        <f t="shared" si="131"/>
        <v>0</v>
      </c>
      <c r="Y550" s="25">
        <f t="shared" si="130"/>
        <v>2505</v>
      </c>
      <c r="Z550" s="25">
        <f t="shared" si="130"/>
        <v>0</v>
      </c>
      <c r="AK550" s="25">
        <f t="shared" si="129"/>
        <v>0</v>
      </c>
      <c r="AM550" s="25">
        <f t="shared" si="128"/>
        <v>0</v>
      </c>
    </row>
    <row r="551" spans="22:39">
      <c r="V551" s="25">
        <f>K331</f>
        <v>2510</v>
      </c>
      <c r="W551" s="26">
        <f t="shared" si="131"/>
        <v>0</v>
      </c>
      <c r="Y551" s="25">
        <f t="shared" si="130"/>
        <v>2510</v>
      </c>
      <c r="Z551" s="25">
        <f t="shared" si="130"/>
        <v>0</v>
      </c>
      <c r="AK551" s="25">
        <f t="shared" si="129"/>
        <v>0</v>
      </c>
      <c r="AM551" s="25">
        <f t="shared" si="128"/>
        <v>0</v>
      </c>
    </row>
    <row r="552" spans="22:39">
      <c r="V552" s="25">
        <f>K332</f>
        <v>2515</v>
      </c>
      <c r="W552" s="26">
        <f t="shared" si="131"/>
        <v>0</v>
      </c>
      <c r="Y552" s="25">
        <f t="shared" si="130"/>
        <v>2515</v>
      </c>
      <c r="Z552" s="25">
        <f t="shared" si="130"/>
        <v>0</v>
      </c>
      <c r="AK552" s="25">
        <f t="shared" si="129"/>
        <v>0</v>
      </c>
      <c r="AM552" s="25">
        <f t="shared" si="128"/>
        <v>0</v>
      </c>
    </row>
    <row r="553" spans="22:39">
      <c r="V553" s="25">
        <f>K333</f>
        <v>2520</v>
      </c>
      <c r="W553" s="26">
        <f t="shared" si="131"/>
        <v>0</v>
      </c>
      <c r="Y553" s="25">
        <f t="shared" si="130"/>
        <v>2520</v>
      </c>
      <c r="Z553" s="25">
        <f t="shared" si="130"/>
        <v>0</v>
      </c>
      <c r="AK553" s="25">
        <f t="shared" si="129"/>
        <v>0</v>
      </c>
      <c r="AM553" s="25">
        <f t="shared" si="128"/>
        <v>0</v>
      </c>
    </row>
    <row r="554" spans="22:39">
      <c r="V554" s="25">
        <f>K334</f>
        <v>2525</v>
      </c>
      <c r="W554" s="26">
        <f t="shared" si="131"/>
        <v>0</v>
      </c>
      <c r="Y554" s="25">
        <f t="shared" si="130"/>
        <v>2525</v>
      </c>
      <c r="Z554" s="25">
        <f t="shared" si="130"/>
        <v>0</v>
      </c>
      <c r="AK554" s="25">
        <f t="shared" si="129"/>
        <v>0</v>
      </c>
      <c r="AM554" s="25">
        <f t="shared" si="128"/>
        <v>0</v>
      </c>
    </row>
    <row r="555" spans="22:39">
      <c r="V555" s="25">
        <f>K335</f>
        <v>2530</v>
      </c>
      <c r="W555" s="26">
        <f t="shared" si="131"/>
        <v>0</v>
      </c>
      <c r="Y555" s="25">
        <f t="shared" si="130"/>
        <v>2530</v>
      </c>
      <c r="Z555" s="25">
        <f t="shared" si="130"/>
        <v>0</v>
      </c>
      <c r="AK555" s="25">
        <f t="shared" si="129"/>
        <v>0</v>
      </c>
      <c r="AM555" s="25">
        <f t="shared" si="128"/>
        <v>0</v>
      </c>
    </row>
    <row r="556" spans="22:39">
      <c r="V556" s="25">
        <f>K336</f>
        <v>2535</v>
      </c>
      <c r="W556" s="26">
        <f t="shared" si="131"/>
        <v>0</v>
      </c>
      <c r="Y556" s="25">
        <f t="shared" si="130"/>
        <v>2535</v>
      </c>
      <c r="Z556" s="25">
        <f t="shared" si="130"/>
        <v>0</v>
      </c>
      <c r="AK556" s="25">
        <f t="shared" si="129"/>
        <v>0</v>
      </c>
      <c r="AM556" s="25">
        <f t="shared" si="128"/>
        <v>0</v>
      </c>
    </row>
    <row r="557" spans="22:39">
      <c r="V557" s="25">
        <f>K337</f>
        <v>2540</v>
      </c>
      <c r="W557" s="26">
        <f t="shared" si="131"/>
        <v>0</v>
      </c>
      <c r="Y557" s="25">
        <f t="shared" si="130"/>
        <v>2540</v>
      </c>
      <c r="Z557" s="25">
        <f t="shared" si="130"/>
        <v>0</v>
      </c>
      <c r="AK557" s="25">
        <f t="shared" si="129"/>
        <v>0</v>
      </c>
      <c r="AM557" s="25">
        <f t="shared" si="128"/>
        <v>0</v>
      </c>
    </row>
    <row r="558" spans="22:39">
      <c r="V558" s="25">
        <f>K338</f>
        <v>2545</v>
      </c>
      <c r="W558" s="26">
        <f t="shared" si="131"/>
        <v>0</v>
      </c>
      <c r="Y558" s="25">
        <f t="shared" si="130"/>
        <v>2545</v>
      </c>
      <c r="Z558" s="25">
        <f t="shared" si="130"/>
        <v>0</v>
      </c>
      <c r="AK558" s="25">
        <f t="shared" si="129"/>
        <v>0</v>
      </c>
      <c r="AM558" s="25">
        <f t="shared" si="128"/>
        <v>0</v>
      </c>
    </row>
    <row r="559" spans="22:39">
      <c r="V559" s="25">
        <f>K339</f>
        <v>2550</v>
      </c>
      <c r="W559" s="26">
        <f t="shared" si="131"/>
        <v>0</v>
      </c>
      <c r="Y559" s="25">
        <f t="shared" si="130"/>
        <v>2550</v>
      </c>
      <c r="Z559" s="25">
        <f t="shared" si="130"/>
        <v>0</v>
      </c>
      <c r="AK559" s="25">
        <f t="shared" si="129"/>
        <v>0</v>
      </c>
      <c r="AM559" s="25">
        <f t="shared" si="128"/>
        <v>0</v>
      </c>
    </row>
    <row r="560" spans="22:39">
      <c r="V560" s="25">
        <f>K340</f>
        <v>2555</v>
      </c>
      <c r="W560" s="26">
        <f t="shared" si="131"/>
        <v>0</v>
      </c>
      <c r="Y560" s="25">
        <f t="shared" si="130"/>
        <v>2555</v>
      </c>
      <c r="Z560" s="25">
        <f t="shared" si="130"/>
        <v>0</v>
      </c>
      <c r="AK560" s="25">
        <f t="shared" si="129"/>
        <v>0</v>
      </c>
      <c r="AM560" s="25">
        <f t="shared" si="128"/>
        <v>0</v>
      </c>
    </row>
    <row r="561" spans="22:39">
      <c r="V561" s="25">
        <f>K341</f>
        <v>2560</v>
      </c>
      <c r="W561" s="26">
        <f t="shared" si="131"/>
        <v>0</v>
      </c>
      <c r="Y561" s="25">
        <f t="shared" si="130"/>
        <v>2560</v>
      </c>
      <c r="Z561" s="25">
        <f t="shared" si="130"/>
        <v>0</v>
      </c>
      <c r="AK561" s="25">
        <f t="shared" si="129"/>
        <v>0</v>
      </c>
      <c r="AM561" s="25">
        <f t="shared" si="128"/>
        <v>0</v>
      </c>
    </row>
    <row r="562" spans="22:39">
      <c r="V562" s="25">
        <f>K342</f>
        <v>2565</v>
      </c>
      <c r="W562" s="26">
        <f t="shared" si="131"/>
        <v>0</v>
      </c>
      <c r="Y562" s="25">
        <f t="shared" si="130"/>
        <v>2565</v>
      </c>
      <c r="Z562" s="25">
        <f t="shared" si="130"/>
        <v>0</v>
      </c>
      <c r="AK562" s="25">
        <f t="shared" si="129"/>
        <v>0</v>
      </c>
      <c r="AM562" s="25">
        <f t="shared" si="128"/>
        <v>0</v>
      </c>
    </row>
    <row r="563" spans="22:39">
      <c r="V563" s="25">
        <f>K343</f>
        <v>2570</v>
      </c>
      <c r="W563" s="26">
        <f t="shared" si="131"/>
        <v>0</v>
      </c>
      <c r="Y563" s="25">
        <f t="shared" si="130"/>
        <v>2570</v>
      </c>
      <c r="Z563" s="25">
        <f t="shared" si="130"/>
        <v>0</v>
      </c>
      <c r="AK563" s="25">
        <f t="shared" si="129"/>
        <v>0</v>
      </c>
      <c r="AM563" s="25">
        <f t="shared" si="128"/>
        <v>0</v>
      </c>
    </row>
    <row r="564" spans="22:39">
      <c r="V564" s="25">
        <f>K344</f>
        <v>2575</v>
      </c>
      <c r="W564" s="26">
        <f t="shared" si="131"/>
        <v>0</v>
      </c>
      <c r="Y564" s="25">
        <f t="shared" si="130"/>
        <v>2575</v>
      </c>
      <c r="Z564" s="25">
        <f t="shared" si="130"/>
        <v>0</v>
      </c>
      <c r="AK564" s="25">
        <f t="shared" si="129"/>
        <v>0</v>
      </c>
      <c r="AM564" s="25">
        <f t="shared" si="128"/>
        <v>0</v>
      </c>
    </row>
    <row r="565" spans="22:39">
      <c r="V565" s="25">
        <f>K345</f>
        <v>2580</v>
      </c>
      <c r="W565" s="26">
        <f t="shared" si="131"/>
        <v>0</v>
      </c>
      <c r="Y565" s="25">
        <f t="shared" si="130"/>
        <v>2580</v>
      </c>
      <c r="Z565" s="25">
        <f t="shared" si="130"/>
        <v>0</v>
      </c>
      <c r="AK565" s="25">
        <f t="shared" si="129"/>
        <v>0</v>
      </c>
      <c r="AM565" s="25">
        <f t="shared" si="128"/>
        <v>0</v>
      </c>
    </row>
    <row r="566" spans="22:39">
      <c r="V566" s="25">
        <f>K346</f>
        <v>2585</v>
      </c>
      <c r="W566" s="26">
        <f t="shared" si="131"/>
        <v>0</v>
      </c>
      <c r="Y566" s="25">
        <f t="shared" si="130"/>
        <v>2585</v>
      </c>
      <c r="Z566" s="25">
        <f t="shared" si="130"/>
        <v>0</v>
      </c>
      <c r="AK566" s="25">
        <f t="shared" si="129"/>
        <v>0</v>
      </c>
      <c r="AM566" s="25">
        <f t="shared" si="128"/>
        <v>0</v>
      </c>
    </row>
    <row r="567" spans="22:39">
      <c r="V567" s="25">
        <f>K347</f>
        <v>2590</v>
      </c>
      <c r="W567" s="26">
        <f t="shared" si="131"/>
        <v>0</v>
      </c>
      <c r="Y567" s="25">
        <f t="shared" si="130"/>
        <v>2590</v>
      </c>
      <c r="Z567" s="25">
        <f t="shared" si="130"/>
        <v>0</v>
      </c>
      <c r="AK567" s="25">
        <f t="shared" si="129"/>
        <v>0</v>
      </c>
      <c r="AM567" s="25">
        <f t="shared" si="128"/>
        <v>0</v>
      </c>
    </row>
    <row r="568" spans="22:39">
      <c r="V568" s="25">
        <f>K348</f>
        <v>2595</v>
      </c>
      <c r="W568" s="26">
        <f t="shared" si="131"/>
        <v>0</v>
      </c>
      <c r="Y568" s="25">
        <f t="shared" si="130"/>
        <v>2595</v>
      </c>
      <c r="Z568" s="25">
        <f t="shared" si="130"/>
        <v>0</v>
      </c>
      <c r="AK568" s="25">
        <f t="shared" si="129"/>
        <v>0</v>
      </c>
      <c r="AM568" s="25">
        <f t="shared" ref="AM568:AM631" si="132">0.5*(V569-V568)*(W568+W569)</f>
        <v>0</v>
      </c>
    </row>
    <row r="569" spans="22:39">
      <c r="V569" s="25">
        <f>K349</f>
        <v>2600</v>
      </c>
      <c r="W569" s="26">
        <f t="shared" si="131"/>
        <v>0</v>
      </c>
      <c r="Y569" s="25">
        <f t="shared" si="130"/>
        <v>2600</v>
      </c>
      <c r="Z569" s="25">
        <f t="shared" si="130"/>
        <v>0</v>
      </c>
      <c r="AK569" s="25">
        <f t="shared" si="129"/>
        <v>0</v>
      </c>
      <c r="AM569" s="25">
        <f t="shared" si="132"/>
        <v>0</v>
      </c>
    </row>
    <row r="570" spans="22:39">
      <c r="V570" s="25">
        <f>K350</f>
        <v>2605</v>
      </c>
      <c r="W570" s="26">
        <f t="shared" si="131"/>
        <v>0</v>
      </c>
      <c r="Y570" s="25">
        <f t="shared" si="130"/>
        <v>2605</v>
      </c>
      <c r="Z570" s="25">
        <f t="shared" si="130"/>
        <v>0</v>
      </c>
      <c r="AK570" s="25">
        <f t="shared" si="129"/>
        <v>0</v>
      </c>
      <c r="AM570" s="25">
        <f t="shared" si="132"/>
        <v>0</v>
      </c>
    </row>
    <row r="571" spans="22:39">
      <c r="V571" s="25">
        <f>K351</f>
        <v>2610</v>
      </c>
      <c r="W571" s="26">
        <f t="shared" si="131"/>
        <v>0</v>
      </c>
      <c r="Y571" s="25">
        <f t="shared" si="130"/>
        <v>2610</v>
      </c>
      <c r="Z571" s="25">
        <f t="shared" si="130"/>
        <v>0</v>
      </c>
      <c r="AK571" s="25">
        <f t="shared" si="129"/>
        <v>0</v>
      </c>
      <c r="AM571" s="25">
        <f t="shared" si="132"/>
        <v>0</v>
      </c>
    </row>
    <row r="572" spans="22:39">
      <c r="V572" s="25">
        <f>K352</f>
        <v>2615</v>
      </c>
      <c r="W572" s="26">
        <f t="shared" si="131"/>
        <v>0</v>
      </c>
      <c r="Y572" s="25">
        <f t="shared" si="130"/>
        <v>2615</v>
      </c>
      <c r="Z572" s="25">
        <f t="shared" si="130"/>
        <v>0</v>
      </c>
      <c r="AK572" s="25">
        <f t="shared" si="129"/>
        <v>0</v>
      </c>
      <c r="AM572" s="25">
        <f t="shared" si="132"/>
        <v>0</v>
      </c>
    </row>
    <row r="573" spans="22:39">
      <c r="V573" s="25">
        <f>K353</f>
        <v>2620</v>
      </c>
      <c r="W573" s="26">
        <f t="shared" si="131"/>
        <v>0</v>
      </c>
      <c r="Y573" s="25">
        <f t="shared" si="130"/>
        <v>2620</v>
      </c>
      <c r="Z573" s="25">
        <f t="shared" si="130"/>
        <v>0</v>
      </c>
      <c r="AK573" s="25">
        <f t="shared" si="129"/>
        <v>0</v>
      </c>
      <c r="AM573" s="25">
        <f t="shared" si="132"/>
        <v>0</v>
      </c>
    </row>
    <row r="574" spans="22:39">
      <c r="V574" s="25">
        <f>K354</f>
        <v>2625</v>
      </c>
      <c r="W574" s="26">
        <f t="shared" si="131"/>
        <v>0</v>
      </c>
      <c r="Y574" s="25">
        <f t="shared" si="130"/>
        <v>2625</v>
      </c>
      <c r="Z574" s="25">
        <f t="shared" si="130"/>
        <v>0</v>
      </c>
      <c r="AK574" s="25">
        <f t="shared" si="129"/>
        <v>0</v>
      </c>
      <c r="AM574" s="25">
        <f t="shared" si="132"/>
        <v>0</v>
      </c>
    </row>
    <row r="575" spans="22:39">
      <c r="V575" s="25">
        <f>K355</f>
        <v>2630</v>
      </c>
      <c r="W575" s="26">
        <f t="shared" si="131"/>
        <v>0</v>
      </c>
      <c r="Y575" s="25">
        <f t="shared" si="130"/>
        <v>2630</v>
      </c>
      <c r="Z575" s="25">
        <f t="shared" si="130"/>
        <v>0</v>
      </c>
      <c r="AK575" s="25">
        <f t="shared" si="129"/>
        <v>0</v>
      </c>
      <c r="AM575" s="25">
        <f t="shared" si="132"/>
        <v>0</v>
      </c>
    </row>
    <row r="576" spans="22:39">
      <c r="V576" s="25">
        <f>K356</f>
        <v>2635</v>
      </c>
      <c r="W576" s="26">
        <f t="shared" si="131"/>
        <v>0</v>
      </c>
      <c r="Y576" s="25">
        <f t="shared" si="130"/>
        <v>2635</v>
      </c>
      <c r="Z576" s="25">
        <f t="shared" si="130"/>
        <v>0</v>
      </c>
      <c r="AK576" s="25">
        <f t="shared" si="129"/>
        <v>0</v>
      </c>
      <c r="AM576" s="25">
        <f t="shared" si="132"/>
        <v>0</v>
      </c>
    </row>
    <row r="577" spans="22:39">
      <c r="V577" s="25">
        <f>K357</f>
        <v>2640</v>
      </c>
      <c r="W577" s="26">
        <f t="shared" si="131"/>
        <v>0</v>
      </c>
      <c r="Y577" s="25">
        <f t="shared" si="130"/>
        <v>2640</v>
      </c>
      <c r="Z577" s="25">
        <f t="shared" si="130"/>
        <v>0</v>
      </c>
      <c r="AK577" s="25">
        <f t="shared" si="129"/>
        <v>0</v>
      </c>
      <c r="AM577" s="25">
        <f t="shared" si="132"/>
        <v>0</v>
      </c>
    </row>
    <row r="578" spans="22:39">
      <c r="V578" s="25">
        <f>K358</f>
        <v>2645</v>
      </c>
      <c r="W578" s="26">
        <f t="shared" si="131"/>
        <v>0</v>
      </c>
      <c r="Y578" s="25">
        <f t="shared" si="130"/>
        <v>2645</v>
      </c>
      <c r="Z578" s="25">
        <f t="shared" si="130"/>
        <v>0</v>
      </c>
      <c r="AK578" s="25">
        <f t="shared" si="129"/>
        <v>0</v>
      </c>
      <c r="AM578" s="25">
        <f t="shared" si="132"/>
        <v>0</v>
      </c>
    </row>
    <row r="579" spans="22:39">
      <c r="V579" s="25">
        <f>K359</f>
        <v>2650</v>
      </c>
      <c r="W579" s="26">
        <f t="shared" si="131"/>
        <v>0</v>
      </c>
      <c r="Y579" s="25">
        <f t="shared" si="130"/>
        <v>2650</v>
      </c>
      <c r="Z579" s="25">
        <f t="shared" si="130"/>
        <v>0</v>
      </c>
      <c r="AK579" s="25">
        <f t="shared" si="129"/>
        <v>0</v>
      </c>
      <c r="AM579" s="25">
        <f t="shared" si="132"/>
        <v>0</v>
      </c>
    </row>
    <row r="580" spans="22:39">
      <c r="V580" s="25">
        <f>K360</f>
        <v>2655</v>
      </c>
      <c r="W580" s="26">
        <f t="shared" si="131"/>
        <v>0</v>
      </c>
      <c r="Y580" s="25">
        <f t="shared" si="130"/>
        <v>2655</v>
      </c>
      <c r="Z580" s="25">
        <f t="shared" si="130"/>
        <v>0</v>
      </c>
      <c r="AK580" s="25">
        <f t="shared" si="129"/>
        <v>0</v>
      </c>
      <c r="AM580" s="25">
        <f t="shared" si="132"/>
        <v>0</v>
      </c>
    </row>
    <row r="581" spans="22:39">
      <c r="V581" s="25">
        <f>K361</f>
        <v>2660</v>
      </c>
      <c r="W581" s="26">
        <f t="shared" si="131"/>
        <v>0</v>
      </c>
      <c r="Y581" s="25">
        <f t="shared" si="130"/>
        <v>2660</v>
      </c>
      <c r="Z581" s="25">
        <f t="shared" si="130"/>
        <v>0</v>
      </c>
      <c r="AK581" s="25">
        <f t="shared" si="129"/>
        <v>0</v>
      </c>
      <c r="AM581" s="25">
        <f t="shared" si="132"/>
        <v>0</v>
      </c>
    </row>
    <row r="582" spans="22:39">
      <c r="V582" s="25">
        <f>K362</f>
        <v>2665</v>
      </c>
      <c r="W582" s="26">
        <f t="shared" si="131"/>
        <v>0</v>
      </c>
      <c r="Y582" s="25">
        <f t="shared" si="130"/>
        <v>2665</v>
      </c>
      <c r="Z582" s="25">
        <f t="shared" si="130"/>
        <v>0</v>
      </c>
      <c r="AK582" s="25">
        <f t="shared" si="129"/>
        <v>0</v>
      </c>
      <c r="AM582" s="25">
        <f t="shared" si="132"/>
        <v>0</v>
      </c>
    </row>
    <row r="583" spans="22:39">
      <c r="V583" s="25">
        <f>K363</f>
        <v>2670</v>
      </c>
      <c r="W583" s="26">
        <f t="shared" si="131"/>
        <v>0</v>
      </c>
      <c r="Y583" s="25">
        <f t="shared" si="130"/>
        <v>2670</v>
      </c>
      <c r="Z583" s="25">
        <f t="shared" si="130"/>
        <v>0</v>
      </c>
      <c r="AK583" s="25">
        <f t="shared" si="129"/>
        <v>0</v>
      </c>
      <c r="AM583" s="25">
        <f t="shared" si="132"/>
        <v>0</v>
      </c>
    </row>
    <row r="584" spans="22:39">
      <c r="V584" s="25">
        <f>K364</f>
        <v>2675</v>
      </c>
      <c r="W584" s="26">
        <f t="shared" si="131"/>
        <v>0</v>
      </c>
      <c r="Y584" s="25">
        <f t="shared" si="130"/>
        <v>2675</v>
      </c>
      <c r="Z584" s="25">
        <f t="shared" si="130"/>
        <v>0</v>
      </c>
      <c r="AK584" s="25">
        <f t="shared" si="129"/>
        <v>0</v>
      </c>
      <c r="AM584" s="25">
        <f t="shared" si="132"/>
        <v>0</v>
      </c>
    </row>
    <row r="585" spans="22:39">
      <c r="V585" s="25">
        <f>K365</f>
        <v>2680</v>
      </c>
      <c r="W585" s="26">
        <f t="shared" si="131"/>
        <v>0</v>
      </c>
      <c r="Y585" s="25">
        <f t="shared" si="130"/>
        <v>2680</v>
      </c>
      <c r="Z585" s="25">
        <f t="shared" si="130"/>
        <v>0</v>
      </c>
      <c r="AK585" s="25">
        <f t="shared" si="129"/>
        <v>0</v>
      </c>
      <c r="AM585" s="25">
        <f t="shared" si="132"/>
        <v>0</v>
      </c>
    </row>
    <row r="586" spans="22:39">
      <c r="V586" s="25">
        <f>K366</f>
        <v>2685</v>
      </c>
      <c r="W586" s="26">
        <f t="shared" si="131"/>
        <v>0</v>
      </c>
      <c r="Y586" s="25">
        <f t="shared" si="130"/>
        <v>2685</v>
      </c>
      <c r="Z586" s="25">
        <f t="shared" si="130"/>
        <v>0</v>
      </c>
      <c r="AK586" s="25">
        <f t="shared" si="129"/>
        <v>0</v>
      </c>
      <c r="AM586" s="25">
        <f t="shared" si="132"/>
        <v>0</v>
      </c>
    </row>
    <row r="587" spans="22:39">
      <c r="V587" s="25">
        <f>K367</f>
        <v>2690</v>
      </c>
      <c r="W587" s="26">
        <f t="shared" si="131"/>
        <v>0</v>
      </c>
      <c r="Y587" s="25">
        <f t="shared" si="130"/>
        <v>2690</v>
      </c>
      <c r="Z587" s="25">
        <f t="shared" si="130"/>
        <v>0</v>
      </c>
      <c r="AK587" s="25">
        <f t="shared" si="129"/>
        <v>0</v>
      </c>
      <c r="AM587" s="25">
        <f t="shared" si="132"/>
        <v>0</v>
      </c>
    </row>
    <row r="588" spans="22:39">
      <c r="V588" s="25">
        <f>K368</f>
        <v>2695</v>
      </c>
      <c r="W588" s="26">
        <f t="shared" si="131"/>
        <v>0</v>
      </c>
      <c r="Y588" s="25">
        <f t="shared" si="130"/>
        <v>2695</v>
      </c>
      <c r="Z588" s="25">
        <f t="shared" si="130"/>
        <v>0</v>
      </c>
      <c r="AK588" s="25">
        <f t="shared" si="129"/>
        <v>0</v>
      </c>
      <c r="AM588" s="25">
        <f t="shared" si="132"/>
        <v>0</v>
      </c>
    </row>
    <row r="589" spans="22:39">
      <c r="V589" s="25">
        <f>K369</f>
        <v>2700</v>
      </c>
      <c r="W589" s="26">
        <f t="shared" si="131"/>
        <v>0</v>
      </c>
      <c r="Y589" s="25">
        <f t="shared" si="130"/>
        <v>2700</v>
      </c>
      <c r="Z589" s="25">
        <f t="shared" si="130"/>
        <v>0</v>
      </c>
      <c r="AK589" s="25">
        <f t="shared" ref="AK589:AK648" si="133">0.5*(V590-V589)*(W589+W590)</f>
        <v>0</v>
      </c>
      <c r="AM589" s="25">
        <f t="shared" si="132"/>
        <v>0</v>
      </c>
    </row>
    <row r="590" spans="22:39">
      <c r="V590" s="25">
        <f>K370</f>
        <v>2705</v>
      </c>
      <c r="W590" s="26">
        <f t="shared" si="131"/>
        <v>0</v>
      </c>
      <c r="Y590" s="25">
        <f t="shared" ref="Y590:Z649" si="134">V590</f>
        <v>2705</v>
      </c>
      <c r="Z590" s="25">
        <f t="shared" si="134"/>
        <v>0</v>
      </c>
      <c r="AK590" s="25">
        <f t="shared" si="133"/>
        <v>0</v>
      </c>
      <c r="AM590" s="25">
        <f t="shared" si="132"/>
        <v>0</v>
      </c>
    </row>
    <row r="591" spans="22:39">
      <c r="V591" s="25">
        <f>K371</f>
        <v>2710</v>
      </c>
      <c r="W591" s="26">
        <f t="shared" ref="W591:W649" si="135">IF(L370=0,0,L370/$T$51)</f>
        <v>0</v>
      </c>
      <c r="Y591" s="25">
        <f t="shared" si="134"/>
        <v>2710</v>
      </c>
      <c r="Z591" s="25">
        <f t="shared" si="134"/>
        <v>0</v>
      </c>
      <c r="AK591" s="25">
        <f t="shared" si="133"/>
        <v>0</v>
      </c>
      <c r="AM591" s="25">
        <f t="shared" si="132"/>
        <v>0</v>
      </c>
    </row>
    <row r="592" spans="22:39">
      <c r="V592" s="25">
        <f>K372</f>
        <v>2715</v>
      </c>
      <c r="W592" s="26">
        <f t="shared" si="135"/>
        <v>0</v>
      </c>
      <c r="Y592" s="25">
        <f t="shared" si="134"/>
        <v>2715</v>
      </c>
      <c r="Z592" s="25">
        <f t="shared" si="134"/>
        <v>0</v>
      </c>
      <c r="AK592" s="25">
        <f t="shared" si="133"/>
        <v>0</v>
      </c>
      <c r="AM592" s="25">
        <f t="shared" si="132"/>
        <v>0</v>
      </c>
    </row>
    <row r="593" spans="22:39">
      <c r="V593" s="25">
        <f>K373</f>
        <v>2720</v>
      </c>
      <c r="W593" s="26">
        <f t="shared" si="135"/>
        <v>0</v>
      </c>
      <c r="Y593" s="25">
        <f t="shared" si="134"/>
        <v>2720</v>
      </c>
      <c r="Z593" s="25">
        <f t="shared" si="134"/>
        <v>0</v>
      </c>
      <c r="AK593" s="25">
        <f t="shared" si="133"/>
        <v>0</v>
      </c>
      <c r="AM593" s="25">
        <f t="shared" si="132"/>
        <v>0</v>
      </c>
    </row>
    <row r="594" spans="22:39">
      <c r="V594" s="25">
        <f>K374</f>
        <v>2725</v>
      </c>
      <c r="W594" s="26">
        <f t="shared" si="135"/>
        <v>0</v>
      </c>
      <c r="Y594" s="25">
        <f t="shared" si="134"/>
        <v>2725</v>
      </c>
      <c r="Z594" s="25">
        <f t="shared" si="134"/>
        <v>0</v>
      </c>
      <c r="AK594" s="25">
        <f t="shared" si="133"/>
        <v>0</v>
      </c>
      <c r="AM594" s="25">
        <f t="shared" si="132"/>
        <v>0</v>
      </c>
    </row>
    <row r="595" spans="22:39">
      <c r="V595" s="25">
        <f>K375</f>
        <v>2730</v>
      </c>
      <c r="W595" s="26">
        <f t="shared" si="135"/>
        <v>0</v>
      </c>
      <c r="Y595" s="25">
        <f t="shared" si="134"/>
        <v>2730</v>
      </c>
      <c r="Z595" s="25">
        <f t="shared" si="134"/>
        <v>0</v>
      </c>
      <c r="AK595" s="25">
        <f t="shared" si="133"/>
        <v>0</v>
      </c>
      <c r="AM595" s="25">
        <f t="shared" si="132"/>
        <v>0</v>
      </c>
    </row>
    <row r="596" spans="22:39">
      <c r="V596" s="25">
        <f>K376</f>
        <v>2735</v>
      </c>
      <c r="W596" s="26">
        <f t="shared" si="135"/>
        <v>0</v>
      </c>
      <c r="Y596" s="25">
        <f t="shared" si="134"/>
        <v>2735</v>
      </c>
      <c r="Z596" s="25">
        <f t="shared" si="134"/>
        <v>0</v>
      </c>
      <c r="AK596" s="25">
        <f t="shared" si="133"/>
        <v>0</v>
      </c>
      <c r="AM596" s="25">
        <f t="shared" si="132"/>
        <v>0</v>
      </c>
    </row>
    <row r="597" spans="22:39">
      <c r="V597" s="25">
        <f>K377</f>
        <v>2740</v>
      </c>
      <c r="W597" s="26">
        <f t="shared" si="135"/>
        <v>0</v>
      </c>
      <c r="Y597" s="25">
        <f t="shared" si="134"/>
        <v>2740</v>
      </c>
      <c r="Z597" s="25">
        <f t="shared" si="134"/>
        <v>0</v>
      </c>
      <c r="AK597" s="25">
        <f t="shared" si="133"/>
        <v>0</v>
      </c>
      <c r="AM597" s="25">
        <f t="shared" si="132"/>
        <v>0</v>
      </c>
    </row>
    <row r="598" spans="22:39">
      <c r="V598" s="25">
        <f>K378</f>
        <v>2745</v>
      </c>
      <c r="W598" s="26">
        <f t="shared" si="135"/>
        <v>0</v>
      </c>
      <c r="Y598" s="25">
        <f t="shared" si="134"/>
        <v>2745</v>
      </c>
      <c r="Z598" s="25">
        <f t="shared" si="134"/>
        <v>0</v>
      </c>
      <c r="AK598" s="25">
        <f t="shared" si="133"/>
        <v>0</v>
      </c>
      <c r="AM598" s="25">
        <f t="shared" si="132"/>
        <v>0</v>
      </c>
    </row>
    <row r="599" spans="22:39">
      <c r="V599" s="25">
        <f>K379</f>
        <v>2750</v>
      </c>
      <c r="W599" s="26">
        <f t="shared" si="135"/>
        <v>0</v>
      </c>
      <c r="Y599" s="25">
        <f t="shared" si="134"/>
        <v>2750</v>
      </c>
      <c r="Z599" s="25">
        <f t="shared" si="134"/>
        <v>0</v>
      </c>
      <c r="AK599" s="25">
        <f t="shared" si="133"/>
        <v>0</v>
      </c>
      <c r="AM599" s="25">
        <f t="shared" si="132"/>
        <v>0</v>
      </c>
    </row>
    <row r="600" spans="22:39">
      <c r="V600" s="25">
        <f>K380</f>
        <v>2755</v>
      </c>
      <c r="W600" s="26">
        <f t="shared" si="135"/>
        <v>0</v>
      </c>
      <c r="Y600" s="25">
        <f t="shared" si="134"/>
        <v>2755</v>
      </c>
      <c r="Z600" s="25">
        <f t="shared" si="134"/>
        <v>0</v>
      </c>
      <c r="AK600" s="25">
        <f t="shared" si="133"/>
        <v>0</v>
      </c>
      <c r="AM600" s="25">
        <f t="shared" si="132"/>
        <v>0</v>
      </c>
    </row>
    <row r="601" spans="22:39">
      <c r="V601" s="25">
        <f>K381</f>
        <v>2760</v>
      </c>
      <c r="W601" s="26">
        <f t="shared" si="135"/>
        <v>0</v>
      </c>
      <c r="Y601" s="25">
        <f t="shared" si="134"/>
        <v>2760</v>
      </c>
      <c r="Z601" s="25">
        <f t="shared" si="134"/>
        <v>0</v>
      </c>
      <c r="AK601" s="25">
        <f t="shared" si="133"/>
        <v>0</v>
      </c>
      <c r="AM601" s="25">
        <f t="shared" si="132"/>
        <v>0</v>
      </c>
    </row>
    <row r="602" spans="22:39">
      <c r="V602" s="25">
        <f>K382</f>
        <v>2765</v>
      </c>
      <c r="W602" s="26">
        <f t="shared" si="135"/>
        <v>0</v>
      </c>
      <c r="Y602" s="25">
        <f t="shared" si="134"/>
        <v>2765</v>
      </c>
      <c r="Z602" s="25">
        <f t="shared" si="134"/>
        <v>0</v>
      </c>
      <c r="AK602" s="25">
        <f t="shared" si="133"/>
        <v>0</v>
      </c>
      <c r="AM602" s="25">
        <f t="shared" si="132"/>
        <v>0</v>
      </c>
    </row>
    <row r="603" spans="22:39">
      <c r="V603" s="25">
        <f>K383</f>
        <v>2770</v>
      </c>
      <c r="W603" s="26">
        <f t="shared" si="135"/>
        <v>0</v>
      </c>
      <c r="Y603" s="25">
        <f t="shared" si="134"/>
        <v>2770</v>
      </c>
      <c r="Z603" s="25">
        <f t="shared" si="134"/>
        <v>0</v>
      </c>
      <c r="AK603" s="25">
        <f t="shared" si="133"/>
        <v>0</v>
      </c>
      <c r="AM603" s="25">
        <f t="shared" si="132"/>
        <v>0</v>
      </c>
    </row>
    <row r="604" spans="22:39">
      <c r="V604" s="25">
        <f>K384</f>
        <v>2775</v>
      </c>
      <c r="W604" s="26">
        <f t="shared" si="135"/>
        <v>0</v>
      </c>
      <c r="Y604" s="25">
        <f t="shared" si="134"/>
        <v>2775</v>
      </c>
      <c r="Z604" s="25">
        <f t="shared" si="134"/>
        <v>0</v>
      </c>
      <c r="AK604" s="25">
        <f t="shared" si="133"/>
        <v>0</v>
      </c>
      <c r="AM604" s="25">
        <f t="shared" si="132"/>
        <v>0</v>
      </c>
    </row>
    <row r="605" spans="22:39">
      <c r="V605" s="25">
        <f>K385</f>
        <v>2780</v>
      </c>
      <c r="W605" s="26">
        <f t="shared" si="135"/>
        <v>0</v>
      </c>
      <c r="Y605" s="25">
        <f t="shared" si="134"/>
        <v>2780</v>
      </c>
      <c r="Z605" s="25">
        <f t="shared" si="134"/>
        <v>0</v>
      </c>
      <c r="AK605" s="25">
        <f t="shared" si="133"/>
        <v>0</v>
      </c>
      <c r="AM605" s="25">
        <f t="shared" si="132"/>
        <v>0</v>
      </c>
    </row>
    <row r="606" spans="22:39">
      <c r="V606" s="25">
        <f>K386</f>
        <v>2785</v>
      </c>
      <c r="W606" s="26">
        <f t="shared" si="135"/>
        <v>0</v>
      </c>
      <c r="Y606" s="25">
        <f t="shared" si="134"/>
        <v>2785</v>
      </c>
      <c r="Z606" s="25">
        <f t="shared" si="134"/>
        <v>0</v>
      </c>
      <c r="AK606" s="25">
        <f t="shared" si="133"/>
        <v>0</v>
      </c>
      <c r="AM606" s="25">
        <f t="shared" si="132"/>
        <v>0</v>
      </c>
    </row>
    <row r="607" spans="22:39">
      <c r="V607" s="25">
        <f>K387</f>
        <v>2790</v>
      </c>
      <c r="W607" s="26">
        <f t="shared" si="135"/>
        <v>0</v>
      </c>
      <c r="Y607" s="25">
        <f t="shared" si="134"/>
        <v>2790</v>
      </c>
      <c r="Z607" s="25">
        <f t="shared" si="134"/>
        <v>0</v>
      </c>
      <c r="AK607" s="25">
        <f t="shared" si="133"/>
        <v>0</v>
      </c>
      <c r="AM607" s="25">
        <f t="shared" si="132"/>
        <v>0</v>
      </c>
    </row>
    <row r="608" spans="22:39">
      <c r="V608" s="25">
        <f>K388</f>
        <v>2795</v>
      </c>
      <c r="W608" s="26">
        <f t="shared" si="135"/>
        <v>0</v>
      </c>
      <c r="Y608" s="25">
        <f t="shared" si="134"/>
        <v>2795</v>
      </c>
      <c r="Z608" s="25">
        <f t="shared" si="134"/>
        <v>0</v>
      </c>
      <c r="AK608" s="25">
        <f t="shared" si="133"/>
        <v>0</v>
      </c>
      <c r="AM608" s="25">
        <f t="shared" si="132"/>
        <v>0</v>
      </c>
    </row>
    <row r="609" spans="22:39">
      <c r="V609" s="25">
        <f>K389</f>
        <v>2800</v>
      </c>
      <c r="W609" s="26">
        <f t="shared" si="135"/>
        <v>0</v>
      </c>
      <c r="Y609" s="25">
        <f t="shared" si="134"/>
        <v>2800</v>
      </c>
      <c r="Z609" s="25">
        <f t="shared" si="134"/>
        <v>0</v>
      </c>
      <c r="AK609" s="25">
        <f t="shared" si="133"/>
        <v>0</v>
      </c>
      <c r="AM609" s="25">
        <f t="shared" si="132"/>
        <v>0</v>
      </c>
    </row>
    <row r="610" spans="22:39">
      <c r="V610" s="25">
        <f>K390</f>
        <v>2805</v>
      </c>
      <c r="W610" s="26">
        <f t="shared" si="135"/>
        <v>0</v>
      </c>
      <c r="Y610" s="25">
        <f t="shared" si="134"/>
        <v>2805</v>
      </c>
      <c r="Z610" s="25">
        <f t="shared" si="134"/>
        <v>0</v>
      </c>
      <c r="AK610" s="25">
        <f t="shared" si="133"/>
        <v>0</v>
      </c>
      <c r="AM610" s="25">
        <f t="shared" si="132"/>
        <v>0</v>
      </c>
    </row>
    <row r="611" spans="22:39">
      <c r="V611" s="25">
        <f>K391</f>
        <v>2810</v>
      </c>
      <c r="W611" s="26">
        <f t="shared" si="135"/>
        <v>0</v>
      </c>
      <c r="Y611" s="25">
        <f t="shared" si="134"/>
        <v>2810</v>
      </c>
      <c r="Z611" s="25">
        <f t="shared" si="134"/>
        <v>0</v>
      </c>
      <c r="AK611" s="25">
        <f t="shared" si="133"/>
        <v>0</v>
      </c>
      <c r="AM611" s="25">
        <f t="shared" si="132"/>
        <v>0</v>
      </c>
    </row>
    <row r="612" spans="22:39">
      <c r="V612" s="25">
        <f>K392</f>
        <v>2815</v>
      </c>
      <c r="W612" s="26">
        <f t="shared" si="135"/>
        <v>0</v>
      </c>
      <c r="Y612" s="25">
        <f t="shared" si="134"/>
        <v>2815</v>
      </c>
      <c r="Z612" s="25">
        <f t="shared" si="134"/>
        <v>0</v>
      </c>
      <c r="AK612" s="25">
        <f t="shared" si="133"/>
        <v>0</v>
      </c>
      <c r="AM612" s="25">
        <f t="shared" si="132"/>
        <v>0</v>
      </c>
    </row>
    <row r="613" spans="22:39">
      <c r="V613" s="25">
        <f>K393</f>
        <v>2820</v>
      </c>
      <c r="W613" s="26">
        <f t="shared" si="135"/>
        <v>0</v>
      </c>
      <c r="Y613" s="25">
        <f t="shared" si="134"/>
        <v>2820</v>
      </c>
      <c r="Z613" s="25">
        <f t="shared" si="134"/>
        <v>0</v>
      </c>
      <c r="AK613" s="25">
        <f t="shared" si="133"/>
        <v>0</v>
      </c>
      <c r="AM613" s="25">
        <f t="shared" si="132"/>
        <v>0</v>
      </c>
    </row>
    <row r="614" spans="22:39">
      <c r="V614" s="25">
        <f>K394</f>
        <v>2825</v>
      </c>
      <c r="W614" s="26">
        <f t="shared" si="135"/>
        <v>0</v>
      </c>
      <c r="Y614" s="25">
        <f t="shared" si="134"/>
        <v>2825</v>
      </c>
      <c r="Z614" s="25">
        <f t="shared" si="134"/>
        <v>0</v>
      </c>
      <c r="AK614" s="25">
        <f t="shared" si="133"/>
        <v>0</v>
      </c>
      <c r="AM614" s="25">
        <f t="shared" si="132"/>
        <v>0</v>
      </c>
    </row>
    <row r="615" spans="22:39">
      <c r="V615" s="25">
        <f>K395</f>
        <v>2830</v>
      </c>
      <c r="W615" s="26">
        <f t="shared" si="135"/>
        <v>0</v>
      </c>
      <c r="Y615" s="25">
        <f t="shared" si="134"/>
        <v>2830</v>
      </c>
      <c r="Z615" s="25">
        <f t="shared" si="134"/>
        <v>0</v>
      </c>
      <c r="AK615" s="25">
        <f t="shared" si="133"/>
        <v>0</v>
      </c>
      <c r="AM615" s="25">
        <f t="shared" si="132"/>
        <v>0</v>
      </c>
    </row>
    <row r="616" spans="22:39">
      <c r="V616" s="25">
        <f>K396</f>
        <v>2835</v>
      </c>
      <c r="W616" s="26">
        <f t="shared" si="135"/>
        <v>0</v>
      </c>
      <c r="Y616" s="25">
        <f t="shared" si="134"/>
        <v>2835</v>
      </c>
      <c r="Z616" s="25">
        <f t="shared" si="134"/>
        <v>0</v>
      </c>
      <c r="AK616" s="25">
        <f t="shared" si="133"/>
        <v>0</v>
      </c>
      <c r="AM616" s="25">
        <f t="shared" si="132"/>
        <v>0</v>
      </c>
    </row>
    <row r="617" spans="22:39">
      <c r="V617" s="25">
        <f>K397</f>
        <v>2840</v>
      </c>
      <c r="W617" s="26">
        <f t="shared" si="135"/>
        <v>0</v>
      </c>
      <c r="Y617" s="25">
        <f t="shared" si="134"/>
        <v>2840</v>
      </c>
      <c r="Z617" s="25">
        <f t="shared" si="134"/>
        <v>0</v>
      </c>
      <c r="AK617" s="25">
        <f t="shared" si="133"/>
        <v>0</v>
      </c>
      <c r="AM617" s="25">
        <f t="shared" si="132"/>
        <v>0</v>
      </c>
    </row>
    <row r="618" spans="22:39">
      <c r="V618" s="25">
        <f>K398</f>
        <v>2845</v>
      </c>
      <c r="W618" s="26">
        <f t="shared" si="135"/>
        <v>0</v>
      </c>
      <c r="Y618" s="25">
        <f t="shared" si="134"/>
        <v>2845</v>
      </c>
      <c r="Z618" s="25">
        <f t="shared" si="134"/>
        <v>0</v>
      </c>
      <c r="AK618" s="25">
        <f t="shared" si="133"/>
        <v>0</v>
      </c>
      <c r="AM618" s="25">
        <f t="shared" si="132"/>
        <v>0</v>
      </c>
    </row>
    <row r="619" spans="22:39">
      <c r="V619" s="25">
        <f>K399</f>
        <v>2850</v>
      </c>
      <c r="W619" s="26">
        <f t="shared" si="135"/>
        <v>0</v>
      </c>
      <c r="Y619" s="25">
        <f t="shared" si="134"/>
        <v>2850</v>
      </c>
      <c r="Z619" s="25">
        <f t="shared" si="134"/>
        <v>0</v>
      </c>
      <c r="AK619" s="25">
        <f t="shared" si="133"/>
        <v>0</v>
      </c>
      <c r="AM619" s="25">
        <f t="shared" si="132"/>
        <v>0</v>
      </c>
    </row>
    <row r="620" spans="22:39">
      <c r="V620" s="25">
        <f>K400</f>
        <v>2855</v>
      </c>
      <c r="W620" s="26">
        <f t="shared" si="135"/>
        <v>0</v>
      </c>
      <c r="Y620" s="25">
        <f t="shared" si="134"/>
        <v>2855</v>
      </c>
      <c r="Z620" s="25">
        <f t="shared" si="134"/>
        <v>0</v>
      </c>
      <c r="AK620" s="25">
        <f t="shared" si="133"/>
        <v>0</v>
      </c>
      <c r="AM620" s="25">
        <f t="shared" si="132"/>
        <v>0</v>
      </c>
    </row>
    <row r="621" spans="22:39">
      <c r="V621" s="25">
        <f>K401</f>
        <v>2860</v>
      </c>
      <c r="W621" s="26">
        <f t="shared" si="135"/>
        <v>0</v>
      </c>
      <c r="Y621" s="25">
        <f t="shared" si="134"/>
        <v>2860</v>
      </c>
      <c r="Z621" s="25">
        <f t="shared" si="134"/>
        <v>0</v>
      </c>
      <c r="AK621" s="25">
        <f t="shared" si="133"/>
        <v>0</v>
      </c>
      <c r="AM621" s="25">
        <f t="shared" si="132"/>
        <v>0</v>
      </c>
    </row>
    <row r="622" spans="22:39">
      <c r="V622" s="25">
        <f>K402</f>
        <v>2865</v>
      </c>
      <c r="W622" s="26">
        <f t="shared" si="135"/>
        <v>0</v>
      </c>
      <c r="Y622" s="25">
        <f t="shared" si="134"/>
        <v>2865</v>
      </c>
      <c r="Z622" s="25">
        <f t="shared" si="134"/>
        <v>0</v>
      </c>
      <c r="AK622" s="25">
        <f t="shared" si="133"/>
        <v>0</v>
      </c>
      <c r="AM622" s="25">
        <f t="shared" si="132"/>
        <v>0</v>
      </c>
    </row>
    <row r="623" spans="22:39">
      <c r="V623" s="25">
        <f>K403</f>
        <v>2870</v>
      </c>
      <c r="W623" s="26">
        <f t="shared" si="135"/>
        <v>0</v>
      </c>
      <c r="Y623" s="25">
        <f t="shared" si="134"/>
        <v>2870</v>
      </c>
      <c r="Z623" s="25">
        <f t="shared" si="134"/>
        <v>0</v>
      </c>
      <c r="AK623" s="25">
        <f t="shared" si="133"/>
        <v>0</v>
      </c>
      <c r="AM623" s="25">
        <f t="shared" si="132"/>
        <v>0</v>
      </c>
    </row>
    <row r="624" spans="22:39">
      <c r="V624" s="25">
        <f>K404</f>
        <v>2875</v>
      </c>
      <c r="W624" s="26">
        <f t="shared" si="135"/>
        <v>0</v>
      </c>
      <c r="Y624" s="25">
        <f t="shared" si="134"/>
        <v>2875</v>
      </c>
      <c r="Z624" s="25">
        <f t="shared" si="134"/>
        <v>0</v>
      </c>
      <c r="AK624" s="25">
        <f t="shared" si="133"/>
        <v>0</v>
      </c>
      <c r="AM624" s="25">
        <f t="shared" si="132"/>
        <v>0</v>
      </c>
    </row>
    <row r="625" spans="22:39">
      <c r="V625" s="25">
        <f>K405</f>
        <v>2880</v>
      </c>
      <c r="W625" s="26">
        <f t="shared" si="135"/>
        <v>0</v>
      </c>
      <c r="Y625" s="25">
        <f t="shared" si="134"/>
        <v>2880</v>
      </c>
      <c r="Z625" s="25">
        <f t="shared" si="134"/>
        <v>0</v>
      </c>
      <c r="AK625" s="25">
        <f t="shared" si="133"/>
        <v>0</v>
      </c>
      <c r="AM625" s="25">
        <f t="shared" si="132"/>
        <v>0</v>
      </c>
    </row>
    <row r="626" spans="22:39">
      <c r="V626" s="25">
        <f>K406</f>
        <v>2885</v>
      </c>
      <c r="W626" s="26">
        <f t="shared" si="135"/>
        <v>0</v>
      </c>
      <c r="Y626" s="25">
        <f t="shared" si="134"/>
        <v>2885</v>
      </c>
      <c r="Z626" s="25">
        <f t="shared" si="134"/>
        <v>0</v>
      </c>
      <c r="AK626" s="25">
        <f t="shared" si="133"/>
        <v>0</v>
      </c>
      <c r="AM626" s="25">
        <f t="shared" si="132"/>
        <v>0</v>
      </c>
    </row>
    <row r="627" spans="22:39">
      <c r="V627" s="25">
        <f>K407</f>
        <v>2890</v>
      </c>
      <c r="W627" s="26">
        <f t="shared" si="135"/>
        <v>0</v>
      </c>
      <c r="Y627" s="25">
        <f t="shared" si="134"/>
        <v>2890</v>
      </c>
      <c r="Z627" s="25">
        <f t="shared" si="134"/>
        <v>0</v>
      </c>
      <c r="AK627" s="25">
        <f t="shared" si="133"/>
        <v>0</v>
      </c>
      <c r="AM627" s="25">
        <f t="shared" si="132"/>
        <v>0</v>
      </c>
    </row>
    <row r="628" spans="22:39">
      <c r="V628" s="25">
        <f>K408</f>
        <v>2895</v>
      </c>
      <c r="W628" s="26">
        <f t="shared" si="135"/>
        <v>0</v>
      </c>
      <c r="Y628" s="25">
        <f t="shared" si="134"/>
        <v>2895</v>
      </c>
      <c r="Z628" s="25">
        <f t="shared" si="134"/>
        <v>0</v>
      </c>
      <c r="AK628" s="25">
        <f t="shared" si="133"/>
        <v>0</v>
      </c>
      <c r="AM628" s="25">
        <f t="shared" si="132"/>
        <v>0</v>
      </c>
    </row>
    <row r="629" spans="22:39">
      <c r="V629" s="25">
        <f>K409</f>
        <v>2900</v>
      </c>
      <c r="W629" s="26">
        <f t="shared" si="135"/>
        <v>0</v>
      </c>
      <c r="Y629" s="25">
        <f t="shared" si="134"/>
        <v>2900</v>
      </c>
      <c r="Z629" s="25">
        <f t="shared" si="134"/>
        <v>0</v>
      </c>
      <c r="AK629" s="25">
        <f t="shared" si="133"/>
        <v>0</v>
      </c>
      <c r="AM629" s="25">
        <f t="shared" si="132"/>
        <v>0</v>
      </c>
    </row>
    <row r="630" spans="22:39">
      <c r="V630" s="25">
        <f>K410</f>
        <v>2905</v>
      </c>
      <c r="W630" s="26">
        <f t="shared" si="135"/>
        <v>0</v>
      </c>
      <c r="Y630" s="25">
        <f t="shared" si="134"/>
        <v>2905</v>
      </c>
      <c r="Z630" s="25">
        <f t="shared" si="134"/>
        <v>0</v>
      </c>
      <c r="AK630" s="25">
        <f t="shared" si="133"/>
        <v>0</v>
      </c>
      <c r="AM630" s="25">
        <f t="shared" si="132"/>
        <v>0</v>
      </c>
    </row>
    <row r="631" spans="22:39">
      <c r="V631" s="25">
        <f>K411</f>
        <v>2910</v>
      </c>
      <c r="W631" s="26">
        <f t="shared" si="135"/>
        <v>0</v>
      </c>
      <c r="Y631" s="25">
        <f t="shared" si="134"/>
        <v>2910</v>
      </c>
      <c r="Z631" s="25">
        <f t="shared" si="134"/>
        <v>0</v>
      </c>
      <c r="AK631" s="25">
        <f t="shared" si="133"/>
        <v>0</v>
      </c>
      <c r="AM631" s="25">
        <f t="shared" si="132"/>
        <v>0</v>
      </c>
    </row>
    <row r="632" spans="22:39">
      <c r="V632" s="25">
        <f>K412</f>
        <v>2915</v>
      </c>
      <c r="W632" s="26">
        <f t="shared" si="135"/>
        <v>0</v>
      </c>
      <c r="Y632" s="25">
        <f t="shared" si="134"/>
        <v>2915</v>
      </c>
      <c r="Z632" s="25">
        <f t="shared" si="134"/>
        <v>0</v>
      </c>
      <c r="AK632" s="25">
        <f t="shared" si="133"/>
        <v>0</v>
      </c>
      <c r="AM632" s="25">
        <f t="shared" ref="AM632:AM690" si="136">0.5*(V633-V632)*(W632+W633)</f>
        <v>0</v>
      </c>
    </row>
    <row r="633" spans="22:39">
      <c r="V633" s="25">
        <f>K413</f>
        <v>2920</v>
      </c>
      <c r="W633" s="26">
        <f t="shared" si="135"/>
        <v>0</v>
      </c>
      <c r="Y633" s="25">
        <f t="shared" si="134"/>
        <v>2920</v>
      </c>
      <c r="Z633" s="25">
        <f t="shared" si="134"/>
        <v>0</v>
      </c>
      <c r="AK633" s="25">
        <f t="shared" si="133"/>
        <v>0</v>
      </c>
      <c r="AM633" s="25">
        <f t="shared" si="136"/>
        <v>0</v>
      </c>
    </row>
    <row r="634" spans="22:39">
      <c r="V634" s="25">
        <f>K414</f>
        <v>2925</v>
      </c>
      <c r="W634" s="26">
        <f t="shared" si="135"/>
        <v>0</v>
      </c>
      <c r="Y634" s="25">
        <f t="shared" si="134"/>
        <v>2925</v>
      </c>
      <c r="Z634" s="25">
        <f t="shared" si="134"/>
        <v>0</v>
      </c>
      <c r="AK634" s="25">
        <f t="shared" si="133"/>
        <v>0</v>
      </c>
      <c r="AM634" s="25">
        <f t="shared" si="136"/>
        <v>0</v>
      </c>
    </row>
    <row r="635" spans="22:39">
      <c r="V635" s="25">
        <f>K415</f>
        <v>2930</v>
      </c>
      <c r="W635" s="26">
        <f t="shared" si="135"/>
        <v>0</v>
      </c>
      <c r="Y635" s="25">
        <f t="shared" si="134"/>
        <v>2930</v>
      </c>
      <c r="Z635" s="25">
        <f t="shared" si="134"/>
        <v>0</v>
      </c>
      <c r="AK635" s="25">
        <f t="shared" si="133"/>
        <v>0</v>
      </c>
      <c r="AM635" s="25">
        <f t="shared" si="136"/>
        <v>0</v>
      </c>
    </row>
    <row r="636" spans="22:39">
      <c r="V636" s="25">
        <f>K416</f>
        <v>2935</v>
      </c>
      <c r="W636" s="26">
        <f t="shared" si="135"/>
        <v>0</v>
      </c>
      <c r="Y636" s="25">
        <f t="shared" si="134"/>
        <v>2935</v>
      </c>
      <c r="Z636" s="25">
        <f t="shared" si="134"/>
        <v>0</v>
      </c>
      <c r="AK636" s="25">
        <f t="shared" si="133"/>
        <v>0</v>
      </c>
      <c r="AM636" s="25">
        <f t="shared" si="136"/>
        <v>0</v>
      </c>
    </row>
    <row r="637" spans="22:39">
      <c r="V637" s="25">
        <f>K417</f>
        <v>2940</v>
      </c>
      <c r="W637" s="26">
        <f t="shared" si="135"/>
        <v>0</v>
      </c>
      <c r="Y637" s="25">
        <f t="shared" si="134"/>
        <v>2940</v>
      </c>
      <c r="Z637" s="25">
        <f t="shared" si="134"/>
        <v>0</v>
      </c>
      <c r="AK637" s="25">
        <f t="shared" si="133"/>
        <v>0</v>
      </c>
      <c r="AM637" s="25">
        <f t="shared" si="136"/>
        <v>0</v>
      </c>
    </row>
    <row r="638" spans="22:39">
      <c r="V638" s="25">
        <f>K418</f>
        <v>2945</v>
      </c>
      <c r="W638" s="26">
        <f t="shared" si="135"/>
        <v>0</v>
      </c>
      <c r="Y638" s="25">
        <f t="shared" si="134"/>
        <v>2945</v>
      </c>
      <c r="Z638" s="25">
        <f t="shared" si="134"/>
        <v>0</v>
      </c>
      <c r="AK638" s="25">
        <f t="shared" si="133"/>
        <v>0</v>
      </c>
      <c r="AM638" s="25">
        <f t="shared" si="136"/>
        <v>0</v>
      </c>
    </row>
    <row r="639" spans="22:39">
      <c r="V639" s="25">
        <f>K419</f>
        <v>2950</v>
      </c>
      <c r="W639" s="26">
        <f t="shared" si="135"/>
        <v>0</v>
      </c>
      <c r="Y639" s="25">
        <f t="shared" si="134"/>
        <v>2950</v>
      </c>
      <c r="Z639" s="25">
        <f t="shared" si="134"/>
        <v>0</v>
      </c>
      <c r="AK639" s="25">
        <f t="shared" si="133"/>
        <v>0</v>
      </c>
      <c r="AM639" s="25">
        <f t="shared" si="136"/>
        <v>0</v>
      </c>
    </row>
    <row r="640" spans="22:39">
      <c r="V640" s="25">
        <f>K420</f>
        <v>2955</v>
      </c>
      <c r="W640" s="26">
        <f t="shared" si="135"/>
        <v>0</v>
      </c>
      <c r="Y640" s="25">
        <f t="shared" si="134"/>
        <v>2955</v>
      </c>
      <c r="Z640" s="25">
        <f t="shared" si="134"/>
        <v>0</v>
      </c>
      <c r="AK640" s="25">
        <f t="shared" si="133"/>
        <v>0</v>
      </c>
      <c r="AM640" s="25">
        <f t="shared" si="136"/>
        <v>0</v>
      </c>
    </row>
    <row r="641" spans="22:39">
      <c r="V641" s="25">
        <f>K421</f>
        <v>2960</v>
      </c>
      <c r="W641" s="26">
        <f t="shared" si="135"/>
        <v>0</v>
      </c>
      <c r="Y641" s="25">
        <f t="shared" si="134"/>
        <v>2960</v>
      </c>
      <c r="Z641" s="25">
        <f t="shared" si="134"/>
        <v>0</v>
      </c>
      <c r="AK641" s="25">
        <f t="shared" si="133"/>
        <v>0</v>
      </c>
      <c r="AM641" s="25">
        <f t="shared" si="136"/>
        <v>0</v>
      </c>
    </row>
    <row r="642" spans="22:39">
      <c r="V642" s="25">
        <f>K422</f>
        <v>2965</v>
      </c>
      <c r="W642" s="26">
        <f t="shared" si="135"/>
        <v>0</v>
      </c>
      <c r="Y642" s="25">
        <f t="shared" si="134"/>
        <v>2965</v>
      </c>
      <c r="Z642" s="25">
        <f t="shared" si="134"/>
        <v>0</v>
      </c>
      <c r="AK642" s="25">
        <f t="shared" si="133"/>
        <v>0</v>
      </c>
      <c r="AM642" s="25">
        <f t="shared" si="136"/>
        <v>0</v>
      </c>
    </row>
    <row r="643" spans="22:39">
      <c r="V643" s="25">
        <f>K423</f>
        <v>2970</v>
      </c>
      <c r="W643" s="26">
        <f t="shared" si="135"/>
        <v>0</v>
      </c>
      <c r="Y643" s="25">
        <f t="shared" si="134"/>
        <v>2970</v>
      </c>
      <c r="Z643" s="25">
        <f t="shared" si="134"/>
        <v>0</v>
      </c>
      <c r="AK643" s="25">
        <f t="shared" si="133"/>
        <v>0</v>
      </c>
      <c r="AM643" s="25">
        <f t="shared" si="136"/>
        <v>0</v>
      </c>
    </row>
    <row r="644" spans="22:39">
      <c r="V644" s="25">
        <f>K424</f>
        <v>2975</v>
      </c>
      <c r="W644" s="26">
        <f t="shared" si="135"/>
        <v>0</v>
      </c>
      <c r="Y644" s="25">
        <f t="shared" si="134"/>
        <v>2975</v>
      </c>
      <c r="Z644" s="25">
        <f t="shared" si="134"/>
        <v>0</v>
      </c>
      <c r="AK644" s="25">
        <f t="shared" si="133"/>
        <v>0</v>
      </c>
      <c r="AM644" s="25">
        <f t="shared" si="136"/>
        <v>0</v>
      </c>
    </row>
    <row r="645" spans="22:39">
      <c r="V645" s="25">
        <f>K425</f>
        <v>2980</v>
      </c>
      <c r="W645" s="26">
        <f t="shared" si="135"/>
        <v>0</v>
      </c>
      <c r="Y645" s="25">
        <f t="shared" si="134"/>
        <v>2980</v>
      </c>
      <c r="Z645" s="25">
        <f t="shared" si="134"/>
        <v>0</v>
      </c>
      <c r="AK645" s="25">
        <f t="shared" si="133"/>
        <v>0</v>
      </c>
      <c r="AM645" s="25">
        <f t="shared" si="136"/>
        <v>0</v>
      </c>
    </row>
    <row r="646" spans="22:39">
      <c r="V646" s="25">
        <f>K426</f>
        <v>2985</v>
      </c>
      <c r="W646" s="26">
        <f t="shared" si="135"/>
        <v>0</v>
      </c>
      <c r="Y646" s="25">
        <f t="shared" si="134"/>
        <v>2985</v>
      </c>
      <c r="Z646" s="25">
        <f t="shared" si="134"/>
        <v>0</v>
      </c>
      <c r="AK646" s="25">
        <f t="shared" si="133"/>
        <v>0</v>
      </c>
      <c r="AM646" s="25">
        <f t="shared" si="136"/>
        <v>0</v>
      </c>
    </row>
    <row r="647" spans="22:39">
      <c r="V647" s="25">
        <f>K427</f>
        <v>2990</v>
      </c>
      <c r="W647" s="26">
        <f t="shared" si="135"/>
        <v>0</v>
      </c>
      <c r="Y647" s="25">
        <f t="shared" si="134"/>
        <v>2990</v>
      </c>
      <c r="Z647" s="25">
        <f t="shared" si="134"/>
        <v>0</v>
      </c>
      <c r="AK647" s="25">
        <f t="shared" si="133"/>
        <v>0</v>
      </c>
      <c r="AM647" s="25">
        <f t="shared" si="136"/>
        <v>0</v>
      </c>
    </row>
    <row r="648" spans="22:39">
      <c r="V648" s="25">
        <f>K428</f>
        <v>2995</v>
      </c>
      <c r="W648" s="26">
        <f t="shared" si="135"/>
        <v>0</v>
      </c>
      <c r="Y648" s="25">
        <f t="shared" si="134"/>
        <v>2995</v>
      </c>
      <c r="Z648" s="25">
        <f t="shared" si="134"/>
        <v>0</v>
      </c>
      <c r="AK648" s="25">
        <f t="shared" si="133"/>
        <v>0</v>
      </c>
      <c r="AM648" s="25">
        <f>0.5*(V649-V648)*(W648+W649)</f>
        <v>0</v>
      </c>
    </row>
    <row r="649" spans="22:39">
      <c r="V649" s="25">
        <f>K429</f>
        <v>3000</v>
      </c>
      <c r="W649" s="26">
        <f t="shared" si="135"/>
        <v>0</v>
      </c>
      <c r="Y649" s="25">
        <f t="shared" si="134"/>
        <v>3000</v>
      </c>
      <c r="Z649" s="25">
        <f t="shared" si="134"/>
        <v>0</v>
      </c>
    </row>
  </sheetData>
  <mergeCells count="2">
    <mergeCell ref="K4:L4"/>
    <mergeCell ref="K14:L14"/>
  </mergeCells>
  <dataValidations count="2">
    <dataValidation type="list" allowBlank="1" showInputMessage="1" showErrorMessage="1" sqref="G5">
      <formula1>$AR$5:$AR$6</formula1>
    </dataValidation>
    <dataValidation type="list" allowBlank="1" showInputMessage="1" showErrorMessage="1" sqref="G4">
      <formula1>$AR$3:$AR$4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649"/>
  <sheetViews>
    <sheetView zoomScale="85" zoomScaleNormal="85" workbookViewId="0">
      <selection activeCell="D24" sqref="D24"/>
    </sheetView>
  </sheetViews>
  <sheetFormatPr defaultRowHeight="15"/>
  <cols>
    <col min="1" max="1" width="10.140625" bestFit="1" customWidth="1"/>
    <col min="2" max="2" width="21.28515625" bestFit="1" customWidth="1"/>
    <col min="3" max="3" width="23.85546875" customWidth="1"/>
    <col min="4" max="4" width="23" bestFit="1" customWidth="1"/>
    <col min="5" max="5" width="11.85546875" bestFit="1" customWidth="1"/>
    <col min="6" max="6" width="20.42578125" customWidth="1"/>
    <col min="8" max="8" width="12" bestFit="1" customWidth="1"/>
    <col min="9" max="9" width="19.42578125" style="19" bestFit="1" customWidth="1"/>
    <col min="10" max="10" width="33.140625" style="19" customWidth="1"/>
    <col min="11" max="11" width="13.85546875" style="19" bestFit="1" customWidth="1"/>
    <col min="12" max="12" width="23.7109375" bestFit="1" customWidth="1"/>
    <col min="14" max="14" width="14" customWidth="1"/>
    <col min="15" max="15" width="19" bestFit="1" customWidth="1"/>
    <col min="16" max="16" width="13.85546875" bestFit="1" customWidth="1"/>
    <col min="17" max="17" width="11.85546875" bestFit="1" customWidth="1"/>
    <col min="18" max="18" width="19.140625" bestFit="1" customWidth="1"/>
    <col min="20" max="21" width="12.28515625" bestFit="1" customWidth="1"/>
    <col min="22" max="22" width="12" bestFit="1" customWidth="1"/>
    <col min="23" max="23" width="15.28515625" bestFit="1" customWidth="1"/>
    <col min="25" max="25" width="12" bestFit="1" customWidth="1"/>
    <col min="26" max="26" width="15.28515625" bestFit="1" customWidth="1"/>
    <col min="27" max="27" width="17.28515625" bestFit="1" customWidth="1"/>
    <col min="28" max="28" width="19.85546875" bestFit="1" customWidth="1"/>
    <col min="29" max="29" width="17" bestFit="1" customWidth="1"/>
    <col min="30" max="30" width="16" bestFit="1" customWidth="1"/>
    <col min="31" max="31" width="16.28515625" bestFit="1" customWidth="1"/>
    <col min="32" max="32" width="19.42578125" bestFit="1" customWidth="1"/>
    <col min="33" max="33" width="17.28515625" bestFit="1" customWidth="1"/>
    <col min="34" max="34" width="12.28515625" bestFit="1" customWidth="1"/>
    <col min="35" max="35" width="18.42578125" bestFit="1" customWidth="1"/>
    <col min="36" max="36" width="12.28515625" bestFit="1" customWidth="1"/>
    <col min="37" max="37" width="13.7109375" bestFit="1" customWidth="1"/>
    <col min="38" max="38" width="13.7109375" customWidth="1"/>
    <col min="39" max="39" width="20.140625" bestFit="1" customWidth="1"/>
    <col min="40" max="40" width="8.5703125" bestFit="1" customWidth="1"/>
    <col min="42" max="42" width="12" bestFit="1" customWidth="1"/>
    <col min="43" max="43" width="18.140625" bestFit="1" customWidth="1"/>
    <col min="44" max="44" width="16.42578125" bestFit="1" customWidth="1"/>
    <col min="45" max="45" width="19.5703125" bestFit="1" customWidth="1"/>
    <col min="46" max="46" width="12" customWidth="1"/>
    <col min="47" max="47" width="12" style="19" customWidth="1"/>
    <col min="48" max="48" width="19.140625" bestFit="1" customWidth="1"/>
    <col min="49" max="49" width="16.42578125" bestFit="1" customWidth="1"/>
    <col min="50" max="50" width="19.5703125" bestFit="1" customWidth="1"/>
    <col min="51" max="51" width="17.28515625" bestFit="1" customWidth="1"/>
    <col min="52" max="52" width="17.28515625" style="19" customWidth="1"/>
    <col min="53" max="57" width="17.28515625" customWidth="1"/>
    <col min="58" max="59" width="17.28515625" style="19" customWidth="1"/>
    <col min="60" max="60" width="21.85546875" style="19" bestFit="1" customWidth="1"/>
    <col min="61" max="62" width="17.28515625" style="19" customWidth="1"/>
    <col min="63" max="64" width="17.28515625" customWidth="1"/>
    <col min="65" max="65" width="21.85546875" bestFit="1" customWidth="1"/>
    <col min="66" max="66" width="23.85546875" bestFit="1" customWidth="1"/>
    <col min="67" max="67" width="22.7109375" bestFit="1" customWidth="1"/>
    <col min="68" max="68" width="22.7109375" style="19" customWidth="1"/>
    <col min="69" max="69" width="22.7109375" customWidth="1"/>
    <col min="70" max="70" width="22.7109375" style="19" customWidth="1"/>
    <col min="71" max="73" width="22.7109375" customWidth="1"/>
  </cols>
  <sheetData>
    <row r="1" spans="2:44" ht="15.75" thickBot="1">
      <c r="T1" s="5"/>
      <c r="U1" s="5"/>
      <c r="V1" s="5"/>
      <c r="W1" s="5"/>
      <c r="X1" s="5"/>
      <c r="Y1" s="5"/>
    </row>
    <row r="2" spans="2:44" ht="15.75">
      <c r="B2" s="21" t="s">
        <v>109</v>
      </c>
      <c r="J2" s="40" t="s">
        <v>44</v>
      </c>
      <c r="K2" s="41"/>
      <c r="L2" s="41"/>
      <c r="M2" s="41"/>
      <c r="N2" s="7"/>
      <c r="O2" s="42" t="s">
        <v>98</v>
      </c>
      <c r="P2" s="7"/>
      <c r="Q2" s="7"/>
      <c r="R2" s="42" t="s">
        <v>108</v>
      </c>
      <c r="S2" s="7"/>
      <c r="T2" s="8"/>
      <c r="U2" s="5"/>
      <c r="V2" s="5"/>
      <c r="W2" s="5"/>
      <c r="X2" s="5"/>
      <c r="Y2" s="5"/>
    </row>
    <row r="3" spans="2:44">
      <c r="G3" s="9"/>
      <c r="J3" s="43"/>
      <c r="K3" s="17"/>
      <c r="L3" s="17"/>
      <c r="M3" s="17"/>
      <c r="N3" s="5"/>
      <c r="O3" s="5"/>
      <c r="P3" s="5"/>
      <c r="Q3" s="5"/>
      <c r="R3" s="5"/>
      <c r="S3" s="5"/>
      <c r="T3" s="12"/>
      <c r="U3" s="5"/>
      <c r="V3" s="11"/>
      <c r="W3" s="11"/>
      <c r="X3" s="5"/>
      <c r="Y3" s="5"/>
      <c r="AQ3" s="5" t="s">
        <v>51</v>
      </c>
      <c r="AR3" s="5" t="s">
        <v>50</v>
      </c>
    </row>
    <row r="4" spans="2:44">
      <c r="C4" t="s">
        <v>49</v>
      </c>
      <c r="G4" s="38" t="s">
        <v>52</v>
      </c>
      <c r="J4" s="43" t="s">
        <v>46</v>
      </c>
      <c r="K4" s="44" t="s">
        <v>47</v>
      </c>
      <c r="L4" s="44"/>
      <c r="M4" s="17" t="s">
        <v>48</v>
      </c>
      <c r="N4" s="5"/>
      <c r="O4" s="5"/>
      <c r="P4" s="45"/>
      <c r="Q4" s="5"/>
      <c r="R4" s="5"/>
      <c r="S4" s="5"/>
      <c r="T4" s="12"/>
      <c r="W4" s="5"/>
      <c r="X4" s="5"/>
      <c r="Y4" s="5"/>
      <c r="AQ4" s="5" t="s">
        <v>51</v>
      </c>
      <c r="AR4" s="5" t="s">
        <v>52</v>
      </c>
    </row>
    <row r="5" spans="2:44">
      <c r="C5" s="13" t="s">
        <v>64</v>
      </c>
      <c r="G5" s="39" t="s">
        <v>55</v>
      </c>
      <c r="J5" s="10" t="s">
        <v>8</v>
      </c>
      <c r="K5" s="45">
        <f>IF(G5="GLS",AB25*500/K10/1000,AB25/1000)</f>
        <v>2.9739561729174455E-2</v>
      </c>
      <c r="L5" s="5" t="s">
        <v>93</v>
      </c>
      <c r="M5" s="5" t="str">
        <f>IF(K5&lt;0.001,"Exempt",IF(K5&lt;0.003,"RG1",IF(K5&lt;0.03,"RG2","RG3")))</f>
        <v>RG2</v>
      </c>
      <c r="N5" s="5"/>
      <c r="O5" s="45">
        <v>2.9739599999999998E-2</v>
      </c>
      <c r="P5" s="5" t="s">
        <v>93</v>
      </c>
      <c r="Q5" s="5"/>
      <c r="R5" s="5">
        <v>2.9739560000000002E-2</v>
      </c>
      <c r="S5" s="5" t="s">
        <v>93</v>
      </c>
      <c r="T5" s="12"/>
      <c r="W5" s="5"/>
      <c r="X5" s="5"/>
      <c r="Y5" s="5"/>
      <c r="AQ5" s="5" t="s">
        <v>51</v>
      </c>
      <c r="AR5" s="5" t="s">
        <v>54</v>
      </c>
    </row>
    <row r="6" spans="2:44">
      <c r="C6" t="s">
        <v>56</v>
      </c>
      <c r="G6" s="39">
        <v>5</v>
      </c>
      <c r="H6" t="s">
        <v>53</v>
      </c>
      <c r="J6" s="10" t="s">
        <v>38</v>
      </c>
      <c r="K6" s="45">
        <f>IF(G5="GLS",AD25*500/K10/1000,AD25/1000)</f>
        <v>0.78087907101275333</v>
      </c>
      <c r="L6" s="5" t="s">
        <v>93</v>
      </c>
      <c r="M6" s="5" t="str">
        <f>IF(K6&lt;10,"Exempt",IF(K6&lt;33,"RG1",IF(K6&lt;100,"RG2","RG3")))</f>
        <v>Exempt</v>
      </c>
      <c r="N6" s="5"/>
      <c r="O6" s="45">
        <v>0.77797099999999997</v>
      </c>
      <c r="P6" s="5" t="s">
        <v>93</v>
      </c>
      <c r="Q6" s="5"/>
      <c r="R6" s="5">
        <v>0.77797000000000005</v>
      </c>
      <c r="S6" s="5" t="s">
        <v>93</v>
      </c>
      <c r="T6" s="12"/>
      <c r="W6" s="5"/>
      <c r="X6" s="5"/>
      <c r="Y6" s="5"/>
      <c r="AQ6" s="5" t="s">
        <v>51</v>
      </c>
      <c r="AR6" s="5" t="s">
        <v>55</v>
      </c>
    </row>
    <row r="7" spans="2:44">
      <c r="C7" t="s">
        <v>57</v>
      </c>
      <c r="G7" s="39">
        <v>1</v>
      </c>
      <c r="H7" t="s">
        <v>53</v>
      </c>
      <c r="J7" s="10" t="s">
        <v>39</v>
      </c>
      <c r="K7" s="45">
        <f>IF(G5="GLS",AF25*500/K10/1000,AF25/1000)</f>
        <v>2.4016653088417721</v>
      </c>
      <c r="L7" s="5" t="s">
        <v>93</v>
      </c>
      <c r="M7" s="5" t="str">
        <f>IF(AR10="Yes",IF(G4=AR4,IF(K7&lt;0.01,"Exempt",IF(K7&lt;1,"RG1",IF(K7&lt;400,"RG2","RG3"))),IF(K7&lt;1,"RG1",IF(K7&lt;400,"RG2","RG3"))), "N/A")</f>
        <v>N/A</v>
      </c>
      <c r="N7" s="5"/>
      <c r="O7" s="45" t="s">
        <v>37</v>
      </c>
      <c r="P7" s="5" t="s">
        <v>93</v>
      </c>
      <c r="Q7" s="5"/>
      <c r="R7" s="5" t="s">
        <v>37</v>
      </c>
      <c r="S7" s="5" t="s">
        <v>93</v>
      </c>
      <c r="T7" s="12"/>
      <c r="W7" s="5"/>
      <c r="X7" s="5"/>
      <c r="Y7" s="5"/>
      <c r="AQ7" s="5" t="s">
        <v>58</v>
      </c>
      <c r="AR7" s="5">
        <f>IF(G8&lt;1.7,1.7,IF(G8&gt;100,100,G8))</f>
        <v>24.998698038723358</v>
      </c>
    </row>
    <row r="8" spans="2:44">
      <c r="C8" t="s">
        <v>59</v>
      </c>
      <c r="G8" s="14">
        <f>1000*2*ATAN(G6/2/200)</f>
        <v>24.998698038723358</v>
      </c>
      <c r="H8" t="s">
        <v>60</v>
      </c>
      <c r="J8" s="10" t="s">
        <v>40</v>
      </c>
      <c r="K8" s="45">
        <f>IF(G5="GLS",AK25*500/K10/1000,AK25/1000)</f>
        <v>135.12144542827357</v>
      </c>
      <c r="L8" s="5" t="s">
        <v>93</v>
      </c>
      <c r="M8" s="5" t="str">
        <f>IF(K8&lt;100,"Exempt",IF(K8&lt;570,"RG1",IF(K8&lt;3200,"RG2","RG3")))</f>
        <v>RG1</v>
      </c>
      <c r="N8" s="5"/>
      <c r="O8" s="5">
        <v>135.12100000000001</v>
      </c>
      <c r="P8" s="5" t="s">
        <v>93</v>
      </c>
      <c r="Q8" s="5"/>
      <c r="R8" s="5">
        <v>134.40092000000001</v>
      </c>
      <c r="S8" s="5" t="s">
        <v>93</v>
      </c>
      <c r="T8" s="12"/>
      <c r="W8" s="5"/>
      <c r="X8" s="5"/>
      <c r="Y8" s="5"/>
      <c r="AQ8" s="5" t="s">
        <v>61</v>
      </c>
      <c r="AR8" s="5">
        <f>IF(G9&lt;1.7,1.7,IF(G9&gt;100,100,G9))</f>
        <v>4.9999895833723951</v>
      </c>
    </row>
    <row r="9" spans="2:44">
      <c r="C9" t="s">
        <v>62</v>
      </c>
      <c r="G9" s="14">
        <f>1000*2*ATAN(G7/2/200)</f>
        <v>4.9999895833723951</v>
      </c>
      <c r="H9" t="s">
        <v>60</v>
      </c>
      <c r="J9" s="10" t="s">
        <v>41</v>
      </c>
      <c r="K9" s="45">
        <f>IF(G5="GLS",AM25*500/K10/1000,AM25/1000)</f>
        <v>170.58667872901287</v>
      </c>
      <c r="L9" s="5" t="s">
        <v>93</v>
      </c>
      <c r="M9" s="5" t="str">
        <f>IF(K9&lt;(20000*10^0.25/10),"Pass","Fail")</f>
        <v>Pass</v>
      </c>
      <c r="N9" s="5"/>
      <c r="O9" s="45">
        <v>170.58699999999999</v>
      </c>
      <c r="P9" s="5" t="s">
        <v>93</v>
      </c>
      <c r="Q9" s="5"/>
      <c r="R9" s="5">
        <v>169.86615</v>
      </c>
      <c r="S9" s="5" t="s">
        <v>93</v>
      </c>
      <c r="T9" s="12"/>
      <c r="W9" s="5"/>
      <c r="X9" s="5"/>
      <c r="Y9" s="5"/>
      <c r="AQ9" s="16" t="s">
        <v>66</v>
      </c>
      <c r="AR9">
        <f>IF(G10&lt;11,11,IF(G10&gt;100,100,G10))</f>
        <v>14.999343811047876</v>
      </c>
    </row>
    <row r="10" spans="2:44">
      <c r="C10" t="s">
        <v>63</v>
      </c>
      <c r="G10" s="14">
        <f>(AR7+AR8)/2</f>
        <v>14.999343811047876</v>
      </c>
      <c r="H10" t="s">
        <v>60</v>
      </c>
      <c r="J10" s="10" t="s">
        <v>42</v>
      </c>
      <c r="K10" s="45">
        <f>AI25</f>
        <v>6167.7273977367277</v>
      </c>
      <c r="L10" s="5" t="s">
        <v>23</v>
      </c>
      <c r="M10" s="5"/>
      <c r="N10" s="5"/>
      <c r="O10" s="5">
        <v>6167.73</v>
      </c>
      <c r="P10" s="5" t="s">
        <v>23</v>
      </c>
      <c r="Q10" s="5"/>
      <c r="R10" s="5" t="s">
        <v>37</v>
      </c>
      <c r="S10" s="5" t="s">
        <v>23</v>
      </c>
      <c r="T10" s="12"/>
      <c r="W10" s="5"/>
      <c r="X10" s="5"/>
      <c r="Y10" s="5"/>
      <c r="AQ10" s="19" t="s">
        <v>65</v>
      </c>
      <c r="AR10" s="9" t="str">
        <f>IF(G10&lt;11,"Yes","No")</f>
        <v>No</v>
      </c>
    </row>
    <row r="11" spans="2:44">
      <c r="J11" s="10"/>
      <c r="K11" s="5"/>
      <c r="L11" s="5"/>
      <c r="M11" s="5"/>
      <c r="N11" s="5"/>
      <c r="O11" s="5"/>
      <c r="P11" s="5"/>
      <c r="Q11" s="5"/>
      <c r="R11" s="5"/>
      <c r="S11" s="5"/>
      <c r="T11" s="12"/>
    </row>
    <row r="12" spans="2:44" ht="15.75">
      <c r="J12" s="49" t="s">
        <v>45</v>
      </c>
      <c r="K12" s="5"/>
      <c r="L12" s="5"/>
      <c r="M12" s="5"/>
      <c r="N12" s="5"/>
      <c r="O12" s="5"/>
      <c r="P12" s="5"/>
      <c r="Q12" s="5"/>
      <c r="R12" s="5"/>
      <c r="S12" s="5"/>
      <c r="T12" s="12"/>
      <c r="U12" s="5"/>
      <c r="V12" s="11"/>
      <c r="W12" s="5"/>
      <c r="X12" s="5"/>
      <c r="Y12" s="5"/>
    </row>
    <row r="13" spans="2:44" ht="15.75">
      <c r="B13" s="21" t="s">
        <v>80</v>
      </c>
      <c r="C13" s="13"/>
      <c r="G13" s="9"/>
      <c r="J13" s="10"/>
      <c r="K13" s="5"/>
      <c r="L13" s="5"/>
      <c r="M13" s="5"/>
      <c r="N13" s="5"/>
      <c r="O13" s="5"/>
      <c r="P13" s="5"/>
      <c r="Q13" s="5"/>
      <c r="R13" s="5"/>
      <c r="S13" s="5"/>
      <c r="T13" s="12"/>
      <c r="U13" s="5"/>
      <c r="V13" s="5"/>
      <c r="W13" s="5"/>
      <c r="X13" s="5"/>
      <c r="Y13" s="5"/>
    </row>
    <row r="14" spans="2:44">
      <c r="C14" s="18" t="s">
        <v>81</v>
      </c>
      <c r="D14" s="18" t="s">
        <v>82</v>
      </c>
      <c r="E14" s="18" t="s">
        <v>83</v>
      </c>
      <c r="F14" s="23" t="s">
        <v>97</v>
      </c>
      <c r="G14" s="9"/>
      <c r="J14" s="43" t="s">
        <v>46</v>
      </c>
      <c r="K14" s="44" t="s">
        <v>47</v>
      </c>
      <c r="L14" s="44"/>
      <c r="M14" s="17" t="s">
        <v>102</v>
      </c>
      <c r="N14" s="5"/>
      <c r="O14" s="5"/>
      <c r="P14" s="5"/>
      <c r="Q14" s="5"/>
      <c r="R14" s="5"/>
      <c r="S14" s="5"/>
      <c r="T14" s="12"/>
      <c r="U14" s="5"/>
      <c r="V14" s="5"/>
      <c r="W14" s="5"/>
      <c r="X14" s="5"/>
      <c r="Y14" s="5"/>
    </row>
    <row r="15" spans="2:44">
      <c r="C15" s="9" t="s">
        <v>2</v>
      </c>
      <c r="D15" s="9" t="s">
        <v>84</v>
      </c>
      <c r="E15" s="9" t="s">
        <v>89</v>
      </c>
      <c r="F15" s="9" t="s">
        <v>37</v>
      </c>
      <c r="J15" s="10" t="s">
        <v>99</v>
      </c>
      <c r="K15" s="45">
        <f>AR24/1000</f>
        <v>305.78724911359717</v>
      </c>
      <c r="L15" s="5"/>
      <c r="M15" s="5" t="str">
        <f>IF(G10&lt;11,"N/A",IF(K15&lt;100,"Pass","Fail"))</f>
        <v>Fail</v>
      </c>
      <c r="N15" s="5"/>
      <c r="O15" s="45">
        <f>(2401.65/(PI()*0.1*0.1/4))/1000</f>
        <v>305.78757526132034</v>
      </c>
      <c r="P15" s="5" t="s">
        <v>94</v>
      </c>
      <c r="Q15" s="5"/>
      <c r="R15" s="45">
        <v>306</v>
      </c>
      <c r="S15" s="5" t="s">
        <v>94</v>
      </c>
      <c r="T15" s="12"/>
      <c r="U15" s="5"/>
      <c r="V15" s="5"/>
      <c r="W15" s="5"/>
      <c r="X15" s="5"/>
      <c r="Y15" s="5"/>
    </row>
    <row r="16" spans="2:44">
      <c r="B16" s="6"/>
      <c r="C16" s="9" t="s">
        <v>2</v>
      </c>
      <c r="D16" s="9" t="s">
        <v>84</v>
      </c>
      <c r="E16" s="9" t="s">
        <v>85</v>
      </c>
      <c r="F16" t="str">
        <f>IF(G8&lt;100,IF(G9&lt;100,"No","Yes"))</f>
        <v>No</v>
      </c>
      <c r="J16" s="10" t="s">
        <v>100</v>
      </c>
      <c r="K16" s="5">
        <f>AW24/1000</f>
        <v>19213.179507534172</v>
      </c>
      <c r="L16" s="5"/>
      <c r="M16" s="5" t="str">
        <f>IF(G10&lt;11,"N/A",IF(K16&lt;10000,"Pass","Fail"))</f>
        <v>Fail</v>
      </c>
      <c r="N16" s="5"/>
      <c r="O16" s="45">
        <v>19213.2</v>
      </c>
      <c r="P16" s="5" t="s">
        <v>95</v>
      </c>
      <c r="Q16" s="5"/>
      <c r="R16" s="45">
        <v>19200</v>
      </c>
      <c r="S16" s="5" t="s">
        <v>95</v>
      </c>
      <c r="T16" s="12"/>
      <c r="U16" s="5"/>
      <c r="V16" s="5"/>
      <c r="W16" s="5"/>
      <c r="X16" s="5"/>
      <c r="Y16" s="5"/>
    </row>
    <row r="17" spans="1:78">
      <c r="C17" s="9" t="s">
        <v>2</v>
      </c>
      <c r="D17" s="9" t="s">
        <v>84</v>
      </c>
      <c r="E17" s="9" t="s">
        <v>75</v>
      </c>
      <c r="F17" t="str">
        <f>IF(G8&lt;35,IF(G9&lt;35,"If luminance in 11mrad &lt; 10 cd.m-2","No"))</f>
        <v>If luminance in 11mrad &lt; 10 cd.m-2</v>
      </c>
      <c r="J17" s="10" t="s">
        <v>101</v>
      </c>
      <c r="K17" s="5">
        <f>BB24/1000</f>
        <v>19159.603014341432</v>
      </c>
      <c r="L17" s="5"/>
      <c r="M17" s="54" t="str">
        <f>IF(G10&lt;11,"N/A",IF(K17&lt;4000000,"Pass","Fail"))</f>
        <v>Pass</v>
      </c>
      <c r="N17" s="5"/>
      <c r="O17" s="45">
        <v>19159.599999999999</v>
      </c>
      <c r="P17" s="5" t="s">
        <v>96</v>
      </c>
      <c r="Q17" s="5"/>
      <c r="R17" s="45">
        <v>19200</v>
      </c>
      <c r="S17" s="5" t="s">
        <v>96</v>
      </c>
      <c r="T17" s="12"/>
      <c r="U17" s="11"/>
      <c r="V17" s="15"/>
      <c r="W17" s="5"/>
      <c r="X17" s="5"/>
      <c r="Y17" s="5"/>
    </row>
    <row r="18" spans="1:78">
      <c r="C18" s="9" t="s">
        <v>86</v>
      </c>
      <c r="D18" s="9" t="s">
        <v>86</v>
      </c>
      <c r="E18" s="9" t="s">
        <v>89</v>
      </c>
      <c r="F18" s="9" t="s">
        <v>37</v>
      </c>
      <c r="J18" s="10" t="s">
        <v>103</v>
      </c>
      <c r="K18" s="45">
        <f>BM19/1000</f>
        <v>571017.28503677575</v>
      </c>
      <c r="L18" s="5"/>
      <c r="M18" s="54" t="str">
        <f>IF(K23&lt;10,"N/A",BN20)</f>
        <v>Pass</v>
      </c>
      <c r="N18" s="5"/>
      <c r="O18" s="45">
        <v>571007</v>
      </c>
      <c r="P18" s="5" t="s">
        <v>95</v>
      </c>
      <c r="Q18" s="5"/>
      <c r="R18" s="45">
        <v>571000</v>
      </c>
      <c r="S18" s="5" t="s">
        <v>95</v>
      </c>
      <c r="T18" s="12"/>
    </row>
    <row r="19" spans="1:78">
      <c r="C19" s="9" t="s">
        <v>4</v>
      </c>
      <c r="D19" s="9" t="s">
        <v>87</v>
      </c>
      <c r="E19" s="9">
        <v>11</v>
      </c>
      <c r="F19" s="9" t="s">
        <v>37</v>
      </c>
      <c r="J19" s="10" t="s">
        <v>104</v>
      </c>
      <c r="K19" s="45">
        <f>BR19/1000</f>
        <v>570481.52010156866</v>
      </c>
      <c r="L19" s="5"/>
      <c r="M19" s="5" t="str">
        <f>IF(K23&lt;10,"N/A",BS20)</f>
        <v>Pass</v>
      </c>
      <c r="N19" s="5"/>
      <c r="O19" s="45">
        <v>570471</v>
      </c>
      <c r="P19" s="5" t="s">
        <v>95</v>
      </c>
      <c r="Q19" s="5"/>
      <c r="R19" s="5" t="s">
        <v>37</v>
      </c>
      <c r="S19" s="5" t="s">
        <v>95</v>
      </c>
      <c r="T19" s="12"/>
      <c r="AP19" s="1" t="s">
        <v>77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 t="s">
        <v>30</v>
      </c>
      <c r="BG19" s="5"/>
      <c r="BH19" s="19" t="s">
        <v>78</v>
      </c>
      <c r="BI19" s="19" t="s">
        <v>78</v>
      </c>
      <c r="BJ19" s="5"/>
      <c r="BK19" s="5"/>
      <c r="BL19" s="5"/>
      <c r="BM19" s="5">
        <f>SUM(BO29:BO278)</f>
        <v>571017285.03677571</v>
      </c>
      <c r="BN19" s="5" t="s">
        <v>36</v>
      </c>
      <c r="BO19" s="5"/>
      <c r="BP19" s="5"/>
      <c r="BQ19" s="5"/>
      <c r="BR19" s="5">
        <f>SUM(BT29:BT302)</f>
        <v>570481520.1015687</v>
      </c>
      <c r="BS19" s="5" t="s">
        <v>36</v>
      </c>
      <c r="BT19" s="5"/>
      <c r="BU19" s="5"/>
      <c r="BV19" s="5"/>
      <c r="BW19" s="5"/>
      <c r="BX19" s="5"/>
      <c r="BY19" s="5"/>
      <c r="BZ19" s="5"/>
    </row>
    <row r="20" spans="1:78">
      <c r="C20" s="9" t="s">
        <v>4</v>
      </c>
      <c r="D20" s="9" t="s">
        <v>88</v>
      </c>
      <c r="E20" s="9">
        <v>1.7</v>
      </c>
      <c r="F20" s="9" t="s">
        <v>37</v>
      </c>
      <c r="J20" s="10" t="s">
        <v>105</v>
      </c>
      <c r="K20" s="45">
        <f>BH24/1000</f>
        <v>17859.792271861028</v>
      </c>
      <c r="L20" s="5"/>
      <c r="M20" s="5" t="str">
        <f>IF(K23&gt;10,"N/A",BI25)</f>
        <v>N/A</v>
      </c>
      <c r="N20" s="5"/>
      <c r="O20" s="5" t="s">
        <v>37</v>
      </c>
      <c r="P20" s="5" t="s">
        <v>95</v>
      </c>
      <c r="Q20" s="5"/>
      <c r="R20" s="5" t="s">
        <v>37</v>
      </c>
      <c r="S20" s="5" t="s">
        <v>95</v>
      </c>
      <c r="T20" s="12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19" t="s">
        <v>79</v>
      </c>
      <c r="BI20" s="19" t="s">
        <v>79</v>
      </c>
      <c r="BJ20" s="5"/>
      <c r="BK20" s="5"/>
      <c r="BL20" s="5"/>
      <c r="BM20" s="19" t="s">
        <v>73</v>
      </c>
      <c r="BN20" t="str">
        <f>IF(BM19&lt;28000000000/G10,"Pass","Fail")</f>
        <v>Pass</v>
      </c>
      <c r="BO20" s="5"/>
      <c r="BP20" s="5"/>
      <c r="BQ20" s="5"/>
      <c r="BR20" s="19" t="s">
        <v>73</v>
      </c>
      <c r="BS20" s="19" t="str">
        <f>IF(BR19&lt;71000000000/G10,"Pass","Fail")</f>
        <v>Pass</v>
      </c>
      <c r="BT20" s="5"/>
      <c r="BU20" s="5"/>
      <c r="BV20" s="5"/>
      <c r="BW20" s="5"/>
      <c r="BX20" s="5"/>
      <c r="BY20" s="5"/>
      <c r="BZ20" s="5"/>
    </row>
    <row r="21" spans="1:78" s="24" customFormat="1">
      <c r="C21" s="9"/>
      <c r="D21" s="9"/>
      <c r="E21" s="9"/>
      <c r="F21" s="9"/>
      <c r="J21" s="10" t="s">
        <v>106</v>
      </c>
      <c r="K21" s="45">
        <f>BM24/1000</f>
        <v>154686.81380000003</v>
      </c>
      <c r="L21" s="5"/>
      <c r="M21" s="5" t="str">
        <f>IF(K23&gt;10,"N/A",BN25)</f>
        <v>N/A</v>
      </c>
      <c r="N21" s="5"/>
      <c r="O21" s="5" t="s">
        <v>37</v>
      </c>
      <c r="P21" s="5" t="s">
        <v>95</v>
      </c>
      <c r="Q21" s="5"/>
      <c r="R21" s="5" t="s">
        <v>37</v>
      </c>
      <c r="S21" s="5" t="s">
        <v>95</v>
      </c>
      <c r="T21" s="1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J21" s="5"/>
      <c r="BK21" s="5"/>
      <c r="BL21" s="5"/>
      <c r="BO21" s="5"/>
      <c r="BP21" s="5"/>
      <c r="BQ21" s="5"/>
      <c r="BT21" s="5"/>
      <c r="BU21" s="5"/>
      <c r="BV21" s="5"/>
      <c r="BW21" s="5"/>
      <c r="BX21" s="5"/>
      <c r="BY21" s="5"/>
      <c r="BZ21" s="5"/>
    </row>
    <row r="22" spans="1:78" s="24" customFormat="1">
      <c r="C22" s="9"/>
      <c r="D22" s="9"/>
      <c r="E22" s="9"/>
      <c r="F22" s="9"/>
      <c r="J22" s="10" t="s">
        <v>107</v>
      </c>
      <c r="K22" s="45">
        <f>BR24/1000</f>
        <v>154686.81380000003</v>
      </c>
      <c r="L22" s="5"/>
      <c r="M22" s="5" t="str">
        <f>IF(K23&gt;10,"N/A",BS25)</f>
        <v>N/A</v>
      </c>
      <c r="N22" s="5"/>
      <c r="O22" s="5" t="s">
        <v>37</v>
      </c>
      <c r="P22" s="5" t="s">
        <v>95</v>
      </c>
      <c r="Q22" s="5"/>
      <c r="R22" s="5" t="s">
        <v>37</v>
      </c>
      <c r="S22" s="5" t="s">
        <v>95</v>
      </c>
      <c r="T22" s="1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J22" s="5"/>
      <c r="BK22" s="5"/>
      <c r="BL22" s="5"/>
      <c r="BO22" s="5"/>
      <c r="BP22" s="5"/>
      <c r="BQ22" s="5"/>
      <c r="BT22" s="5"/>
      <c r="BU22" s="5"/>
      <c r="BV22" s="5"/>
      <c r="BW22" s="5"/>
      <c r="BX22" s="5"/>
      <c r="BY22" s="5"/>
      <c r="BZ22" s="5"/>
    </row>
    <row r="23" spans="1:78" s="24" customFormat="1" ht="15.75" thickBot="1">
      <c r="C23" s="9"/>
      <c r="D23" s="9"/>
      <c r="E23" s="9"/>
      <c r="F23" s="9"/>
      <c r="J23" s="51" t="s">
        <v>43</v>
      </c>
      <c r="K23" s="55">
        <f>'IEC_EN62471- Halogen non-GLS'!BW25</f>
        <v>49341819.181893811</v>
      </c>
      <c r="L23" s="52"/>
      <c r="M23" s="52"/>
      <c r="N23" s="52"/>
      <c r="O23" s="55">
        <v>49341800</v>
      </c>
      <c r="P23" s="52" t="s">
        <v>35</v>
      </c>
      <c r="Q23" s="52"/>
      <c r="R23" s="56">
        <v>49341054.950000003</v>
      </c>
      <c r="S23" s="52" t="s">
        <v>35</v>
      </c>
      <c r="T23" s="5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"/>
      <c r="BK23" s="5"/>
      <c r="BL23" s="5"/>
      <c r="BO23" s="5"/>
      <c r="BP23" s="5"/>
      <c r="BQ23" s="5"/>
      <c r="BT23" s="5"/>
      <c r="BU23" s="5"/>
      <c r="BV23" s="5"/>
      <c r="BW23" s="5"/>
      <c r="BX23" s="5"/>
      <c r="BY23" s="5"/>
      <c r="BZ23" s="5"/>
    </row>
    <row r="24" spans="1:78" ht="15.75" thickBot="1">
      <c r="AK24" s="5"/>
      <c r="AL24" s="5"/>
      <c r="AM24" s="5"/>
      <c r="AN24" s="5"/>
      <c r="AO24" s="5"/>
      <c r="AQ24" s="5"/>
      <c r="AR24" s="5">
        <f>SUM(AT29:AT138)/(PI()*0.1*0.1/4)</f>
        <v>305787.24911359715</v>
      </c>
      <c r="AS24" s="5" t="s">
        <v>36</v>
      </c>
      <c r="AT24" s="5"/>
      <c r="AU24" s="5"/>
      <c r="AV24" s="5"/>
      <c r="AW24" s="5">
        <f>SUM(AY29:AY138)</f>
        <v>19213179.507534172</v>
      </c>
      <c r="AX24" s="5" t="s">
        <v>36</v>
      </c>
      <c r="AY24" s="5"/>
      <c r="AZ24" s="5"/>
      <c r="BA24" s="5"/>
      <c r="BB24" s="5">
        <f>SUM(BD29:BD162)</f>
        <v>19159603.014341433</v>
      </c>
      <c r="BC24" s="17" t="s">
        <v>36</v>
      </c>
      <c r="BD24" s="5"/>
      <c r="BE24" s="5"/>
      <c r="BF24" s="5"/>
      <c r="BG24" s="5"/>
      <c r="BH24" s="5">
        <f>SUM(BJ115:BJ179)/(PI()*35*35/1000/1000/4)</f>
        <v>17859792.271861028</v>
      </c>
      <c r="BI24" s="5" t="s">
        <v>36</v>
      </c>
      <c r="BJ24" s="5"/>
      <c r="BK24" s="5"/>
      <c r="BL24" s="5"/>
      <c r="BM24" s="5">
        <f>SUM(BO155:BO279)</f>
        <v>154686813.80000004</v>
      </c>
      <c r="BN24" s="5" t="s">
        <v>36</v>
      </c>
      <c r="BO24" s="5"/>
      <c r="BP24" s="5"/>
      <c r="BQ24" s="5"/>
      <c r="BR24" s="5">
        <f>SUM(BT179:BT302)</f>
        <v>154686813.80000004</v>
      </c>
      <c r="BS24" s="5" t="s">
        <v>36</v>
      </c>
      <c r="BT24" s="5"/>
      <c r="BU24" s="5"/>
      <c r="BV24" s="5"/>
      <c r="BW24" s="5"/>
      <c r="BX24" s="5"/>
      <c r="BY24" s="5"/>
      <c r="BZ24" s="5"/>
    </row>
    <row r="25" spans="1:78" ht="15.75" thickBot="1">
      <c r="E25" s="19"/>
      <c r="H25" s="19"/>
      <c r="O25" s="1"/>
      <c r="P25" s="1"/>
      <c r="Q25" s="1"/>
      <c r="T25" s="1" t="s">
        <v>24</v>
      </c>
      <c r="Y25" s="1" t="s">
        <v>2</v>
      </c>
      <c r="AB25" s="4">
        <f>SUM(AC29:AC229)</f>
        <v>29.739561729174454</v>
      </c>
      <c r="AC25" s="3" t="s">
        <v>22</v>
      </c>
      <c r="AD25" s="4">
        <f>SUM(AD29:AD128)</f>
        <v>780.87907101275334</v>
      </c>
      <c r="AE25" s="3" t="s">
        <v>22</v>
      </c>
      <c r="AF25" s="4">
        <f>SUM(AG29:AG229)</f>
        <v>2401.665308841772</v>
      </c>
      <c r="AG25" s="3" t="s">
        <v>22</v>
      </c>
      <c r="AI25" s="2">
        <f>683*SUM(AJ29:AJ204)/1000</f>
        <v>6167.7273977367277</v>
      </c>
      <c r="AJ25" s="3" t="s">
        <v>23</v>
      </c>
      <c r="AK25" s="4">
        <f>SUM(AK29:AK648)</f>
        <v>135121.44542827358</v>
      </c>
      <c r="AL25" s="3" t="s">
        <v>22</v>
      </c>
      <c r="AM25" s="4">
        <f>SUM(AM29:AM648)</f>
        <v>170586.67872901287</v>
      </c>
      <c r="AN25" s="3" t="s">
        <v>22</v>
      </c>
      <c r="AO25" s="5"/>
      <c r="AQ25" s="5"/>
      <c r="AR25" s="5" t="s">
        <v>70</v>
      </c>
      <c r="AS25" s="5" t="str">
        <f>IF(AR24&lt;100000,"Pass", "Fail")</f>
        <v>Fail</v>
      </c>
      <c r="AT25" s="5"/>
      <c r="AU25" s="5"/>
      <c r="AV25" s="5"/>
      <c r="AW25" s="5" t="s">
        <v>71</v>
      </c>
      <c r="AX25" s="5" t="str">
        <f>IF(AW24&lt;10000000,"Pass","Fail")</f>
        <v>Fail</v>
      </c>
      <c r="AY25" s="5"/>
      <c r="AZ25" s="5"/>
      <c r="BA25" s="5"/>
      <c r="BB25" s="5" t="s">
        <v>72</v>
      </c>
      <c r="BC25" s="5" t="str">
        <f>IF(BB24&lt;4000000000, "Pass","Fail")</f>
        <v>Pass</v>
      </c>
      <c r="BD25" s="5"/>
      <c r="BE25" s="5"/>
      <c r="BF25" s="5"/>
      <c r="BG25" s="5"/>
      <c r="BH25" s="5" t="s">
        <v>74</v>
      </c>
      <c r="BI25" s="19" t="str">
        <f>IF(BH24&lt;(6000000000/G10),"Pass","Fail")</f>
        <v>Pass</v>
      </c>
      <c r="BJ25" s="5"/>
      <c r="BK25" s="5"/>
      <c r="BL25" s="5"/>
      <c r="BM25" s="5" t="s">
        <v>74</v>
      </c>
      <c r="BN25" s="19" t="str">
        <f>IF(BM24&lt;(6000000000/G10),"Pass","Fail")</f>
        <v>Pass</v>
      </c>
      <c r="BP25" s="5"/>
      <c r="BQ25" s="5"/>
      <c r="BR25" s="5" t="s">
        <v>74</v>
      </c>
      <c r="BS25" s="19" t="str">
        <f>IF(BR24&lt;(6000000000/G10),"Pass","Fail")</f>
        <v>Pass</v>
      </c>
      <c r="BT25" s="5"/>
      <c r="BU25" s="5"/>
      <c r="BV25" s="5"/>
      <c r="BW25" s="5">
        <f>683*SUM(BX29:BX204)/1000</f>
        <v>49341819.181893811</v>
      </c>
      <c r="BX25" s="5" t="s">
        <v>35</v>
      </c>
      <c r="BY25" s="5"/>
      <c r="BZ25" s="5"/>
    </row>
    <row r="26" spans="1:78">
      <c r="AK26" s="5"/>
      <c r="AL26" s="5"/>
      <c r="AM26" s="5"/>
      <c r="AN26" s="5"/>
      <c r="AO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>
      <c r="A27" s="1"/>
      <c r="B27" s="1" t="s">
        <v>0</v>
      </c>
      <c r="C27" s="1" t="s">
        <v>126</v>
      </c>
      <c r="D27" s="1"/>
      <c r="E27" s="1" t="s">
        <v>0</v>
      </c>
      <c r="F27" s="1" t="s">
        <v>90</v>
      </c>
      <c r="G27" s="1"/>
      <c r="H27" s="1" t="s">
        <v>0</v>
      </c>
      <c r="I27" s="1" t="s">
        <v>91</v>
      </c>
      <c r="J27" s="1"/>
      <c r="K27" s="1" t="s">
        <v>0</v>
      </c>
      <c r="L27" s="1" t="s">
        <v>92</v>
      </c>
      <c r="M27" s="1"/>
      <c r="N27" s="1" t="s">
        <v>0</v>
      </c>
      <c r="O27" s="1" t="s">
        <v>7</v>
      </c>
      <c r="P27" s="1"/>
      <c r="Q27" s="1" t="s">
        <v>0</v>
      </c>
      <c r="R27" s="1" t="s">
        <v>67</v>
      </c>
      <c r="S27" s="1"/>
      <c r="T27" s="1" t="s">
        <v>25</v>
      </c>
      <c r="U27" s="1"/>
      <c r="V27" s="1" t="s">
        <v>0</v>
      </c>
      <c r="W27" s="1" t="s">
        <v>2</v>
      </c>
      <c r="X27" s="1"/>
      <c r="Y27" s="1" t="str">
        <f t="shared" ref="Y27:Z28" si="0">B27</f>
        <v>Wavelength</v>
      </c>
      <c r="Z27" s="1" t="str">
        <f t="shared" si="0"/>
        <v>Irradiance in 2π</v>
      </c>
      <c r="AA27" s="1" t="s">
        <v>13</v>
      </c>
      <c r="AB27" s="1" t="s">
        <v>14</v>
      </c>
      <c r="AC27" s="1" t="s">
        <v>16</v>
      </c>
      <c r="AD27" s="1" t="s">
        <v>17</v>
      </c>
      <c r="AE27" s="1" t="s">
        <v>18</v>
      </c>
      <c r="AF27" s="1" t="s">
        <v>19</v>
      </c>
      <c r="AG27" s="1" t="s">
        <v>20</v>
      </c>
      <c r="AH27" s="1" t="s">
        <v>12</v>
      </c>
      <c r="AI27" s="1" t="s">
        <v>21</v>
      </c>
      <c r="AK27" s="1" t="s">
        <v>26</v>
      </c>
      <c r="AL27" s="1"/>
      <c r="AM27" s="1" t="s">
        <v>27</v>
      </c>
      <c r="AP27" s="1" t="str">
        <f>E27</f>
        <v>Wavelength</v>
      </c>
      <c r="AQ27" s="1" t="str">
        <f>IF(G8&lt;100,IF(G9&lt;100,C27,F27),F27)</f>
        <v>Irradiance in 2π</v>
      </c>
      <c r="AR27" s="1" t="s">
        <v>18</v>
      </c>
      <c r="AS27" s="1" t="s">
        <v>68</v>
      </c>
      <c r="AT27" s="1" t="s">
        <v>20</v>
      </c>
      <c r="AU27" s="1" t="str">
        <f>N27</f>
        <v>Wavelength</v>
      </c>
      <c r="AV27" s="1" t="str">
        <f>O27</f>
        <v>Radiance 11mrad</v>
      </c>
      <c r="AW27" s="1" t="s">
        <v>18</v>
      </c>
      <c r="AX27" s="1" t="s">
        <v>28</v>
      </c>
      <c r="AY27" s="1" t="s">
        <v>20</v>
      </c>
      <c r="AZ27" s="1" t="str">
        <f>Q27</f>
        <v>Wavelength</v>
      </c>
      <c r="BA27" s="1" t="str">
        <f>R27</f>
        <v>Radiance 1.7mrad</v>
      </c>
      <c r="BB27" s="1" t="s">
        <v>18</v>
      </c>
      <c r="BC27" s="1" t="s">
        <v>28</v>
      </c>
      <c r="BD27" s="1" t="s">
        <v>20</v>
      </c>
      <c r="BE27" s="1"/>
      <c r="BF27" s="1" t="str">
        <f>H27</f>
        <v>Wavelength</v>
      </c>
      <c r="BG27" s="1" t="str">
        <f>I27</f>
        <v>Irradiance in 35mrad</v>
      </c>
      <c r="BH27" s="1" t="s">
        <v>29</v>
      </c>
      <c r="BI27" s="1" t="s">
        <v>76</v>
      </c>
      <c r="BJ27" s="1" t="s">
        <v>31</v>
      </c>
      <c r="BK27" s="1" t="str">
        <f>N27</f>
        <v>Wavelength</v>
      </c>
      <c r="BL27" s="1" t="str">
        <f>O27</f>
        <v>Radiance 11mrad</v>
      </c>
      <c r="BM27" s="1" t="s">
        <v>29</v>
      </c>
      <c r="BN27" s="1" t="s">
        <v>30</v>
      </c>
      <c r="BO27" s="1" t="s">
        <v>31</v>
      </c>
      <c r="BP27" s="1" t="str">
        <f>Q27</f>
        <v>Wavelength</v>
      </c>
      <c r="BQ27" s="1" t="str">
        <f>R27</f>
        <v>Radiance 1.7mrad</v>
      </c>
      <c r="BR27" s="1" t="s">
        <v>29</v>
      </c>
      <c r="BS27" s="1" t="s">
        <v>30</v>
      </c>
      <c r="BT27" s="1" t="s">
        <v>31</v>
      </c>
      <c r="BU27" s="1"/>
      <c r="BV27" s="1" t="s">
        <v>12</v>
      </c>
      <c r="BW27" s="1" t="s">
        <v>34</v>
      </c>
      <c r="BY27" s="1"/>
      <c r="BZ27" s="1"/>
    </row>
    <row r="28" spans="1:78">
      <c r="B28" s="1" t="s">
        <v>1</v>
      </c>
      <c r="C28" s="1" t="s">
        <v>3</v>
      </c>
      <c r="D28" s="1"/>
      <c r="E28" s="1" t="s">
        <v>1</v>
      </c>
      <c r="F28" s="1" t="s">
        <v>3</v>
      </c>
      <c r="H28" s="1" t="s">
        <v>1</v>
      </c>
      <c r="I28" s="1" t="s">
        <v>3</v>
      </c>
      <c r="J28" s="1"/>
      <c r="K28" s="1" t="s">
        <v>1</v>
      </c>
      <c r="L28" s="1" t="s">
        <v>6</v>
      </c>
      <c r="M28" s="1"/>
      <c r="N28" s="1" t="s">
        <v>1</v>
      </c>
      <c r="O28" s="1" t="s">
        <v>5</v>
      </c>
      <c r="Q28" s="1" t="s">
        <v>1</v>
      </c>
      <c r="R28" s="1" t="s">
        <v>5</v>
      </c>
      <c r="S28" s="1"/>
      <c r="T28" s="1"/>
      <c r="U28" s="1"/>
      <c r="V28" s="1" t="s">
        <v>1</v>
      </c>
      <c r="W28" s="1" t="s">
        <v>3</v>
      </c>
      <c r="X28" s="1"/>
      <c r="Y28" s="1" t="str">
        <f t="shared" si="0"/>
        <v>(nm)</v>
      </c>
      <c r="Z28" s="1" t="str">
        <f t="shared" si="0"/>
        <v>(mW m-2 nm-1)</v>
      </c>
      <c r="AA28" s="1" t="s">
        <v>6</v>
      </c>
      <c r="AB28" s="1" t="str">
        <f>Z28</f>
        <v>(mW m-2 nm-1)</v>
      </c>
      <c r="AC28" s="1" t="s">
        <v>15</v>
      </c>
      <c r="AD28" s="1" t="s">
        <v>15</v>
      </c>
      <c r="AE28" s="1" t="s">
        <v>6</v>
      </c>
      <c r="AF28" s="1" t="str">
        <f>AD28</f>
        <v>(mW.m-2)</v>
      </c>
      <c r="AG28" s="1" t="str">
        <f>AD28</f>
        <v>(mW.m-2)</v>
      </c>
      <c r="AH28" s="1" t="s">
        <v>6</v>
      </c>
      <c r="AI28" s="1" t="s">
        <v>15</v>
      </c>
      <c r="AK28" s="1" t="s">
        <v>15</v>
      </c>
      <c r="AL28" s="1"/>
      <c r="AM28" s="1" t="s">
        <v>15</v>
      </c>
      <c r="AP28" s="1" t="str">
        <f>E28</f>
        <v>(nm)</v>
      </c>
      <c r="AQ28" s="1" t="str">
        <f>IF(G8&lt;100,IF(G9&lt;100,C28,F28),F28)</f>
        <v>(mW m-2 nm-1)</v>
      </c>
      <c r="AR28" s="1" t="s">
        <v>6</v>
      </c>
      <c r="AS28" s="1" t="s">
        <v>69</v>
      </c>
      <c r="AT28" s="1" t="s">
        <v>15</v>
      </c>
      <c r="AU28" s="1" t="str">
        <f>N28</f>
        <v>(nm)</v>
      </c>
      <c r="AV28" s="1" t="str">
        <f>O28</f>
        <v>(mW m-2 sr-1 nm-1)</v>
      </c>
      <c r="AW28" s="1" t="str">
        <f t="shared" ref="AW28" si="1">AA28</f>
        <v>(au)</v>
      </c>
      <c r="AX28" s="1" t="s">
        <v>32</v>
      </c>
      <c r="AY28" s="1" t="s">
        <v>33</v>
      </c>
      <c r="AZ28" s="1" t="str">
        <f t="shared" ref="AZ28:AZ91" si="2">Q28</f>
        <v>(nm)</v>
      </c>
      <c r="BA28" s="1" t="str">
        <f t="shared" ref="BA28:BA91" si="3">R28</f>
        <v>(mW m-2 sr-1 nm-1)</v>
      </c>
      <c r="BB28" s="1" t="str">
        <f t="shared" ref="BB28" si="4">AE28</f>
        <v>(au)</v>
      </c>
      <c r="BC28" s="1" t="s">
        <v>32</v>
      </c>
      <c r="BD28" s="1" t="s">
        <v>33</v>
      </c>
      <c r="BE28" s="1"/>
      <c r="BF28" s="1" t="str">
        <f t="shared" ref="BF28" si="5">H28</f>
        <v>(nm)</v>
      </c>
      <c r="BG28" s="1" t="str">
        <f t="shared" ref="BG28" si="6">I28</f>
        <v>(mW m-2 nm-1)</v>
      </c>
      <c r="BH28" s="1" t="s">
        <v>6</v>
      </c>
      <c r="BI28" s="1" t="s">
        <v>69</v>
      </c>
      <c r="BJ28" s="1" t="s">
        <v>15</v>
      </c>
      <c r="BK28" s="1" t="str">
        <f t="shared" ref="BK28:BK91" si="7">N28</f>
        <v>(nm)</v>
      </c>
      <c r="BL28" s="1" t="str">
        <f t="shared" ref="BL28:BL91" si="8">O28</f>
        <v>(mW m-2 sr-1 nm-1)</v>
      </c>
      <c r="BM28" s="1" t="s">
        <v>6</v>
      </c>
      <c r="BN28" s="1" t="s">
        <v>32</v>
      </c>
      <c r="BO28" s="1" t="s">
        <v>33</v>
      </c>
      <c r="BP28" s="1" t="str">
        <f t="shared" ref="BP28:BP91" si="9">Q28</f>
        <v>(nm)</v>
      </c>
      <c r="BQ28" s="1" t="str">
        <f t="shared" ref="BQ28:BQ91" si="10">R28</f>
        <v>(mW m-2 sr-1 nm-1)</v>
      </c>
      <c r="BR28" s="1" t="s">
        <v>6</v>
      </c>
      <c r="BS28" s="1" t="s">
        <v>32</v>
      </c>
      <c r="BT28" s="1" t="s">
        <v>33</v>
      </c>
      <c r="BU28" s="1"/>
      <c r="BV28" s="1" t="s">
        <v>6</v>
      </c>
      <c r="BW28" s="1" t="s">
        <v>15</v>
      </c>
      <c r="BY28" s="1"/>
      <c r="BZ28" s="1"/>
    </row>
    <row r="29" spans="1:78">
      <c r="B29">
        <v>200</v>
      </c>
      <c r="C29" s="36">
        <v>1.24961E-3</v>
      </c>
      <c r="E29">
        <v>200</v>
      </c>
      <c r="F29" s="36">
        <v>1.24961E-3</v>
      </c>
      <c r="H29" s="19">
        <v>200</v>
      </c>
      <c r="I29" s="36">
        <v>1.24961E-3</v>
      </c>
      <c r="K29">
        <v>1000</v>
      </c>
      <c r="L29" s="36">
        <v>1787.7136395583764</v>
      </c>
      <c r="N29">
        <v>300</v>
      </c>
      <c r="O29" s="36">
        <v>14296.319999999998</v>
      </c>
      <c r="Q29" s="19">
        <v>300</v>
      </c>
      <c r="R29" s="36">
        <v>14296.32</v>
      </c>
      <c r="T29">
        <f>L29/C249</f>
        <v>12.53216711923152</v>
      </c>
      <c r="U29">
        <f>L29/$T$51</f>
        <v>142.33806773059504</v>
      </c>
      <c r="V29">
        <f>B29</f>
        <v>200</v>
      </c>
      <c r="W29">
        <f>C29</f>
        <v>1.24961E-3</v>
      </c>
      <c r="Y29">
        <f>V29</f>
        <v>200</v>
      </c>
      <c r="Z29">
        <f>W29</f>
        <v>1.24961E-3</v>
      </c>
      <c r="AA29">
        <f>VLOOKUP(Y29,'Hazard Weighting Functions'!$B$5:$G$1205,2,FALSE)</f>
        <v>0.03</v>
      </c>
      <c r="AB29">
        <f>Z29*AA29</f>
        <v>3.7488299999999998E-5</v>
      </c>
      <c r="AC29">
        <f>0.5*(Y30-Y29)*(AB29+AB30)</f>
        <v>1.3604111772940619E-4</v>
      </c>
      <c r="AE29">
        <f>VLOOKUP(Y29,'Hazard Weighting Functions'!$B$5:$G$1205,3,FALSE)</f>
        <v>0</v>
      </c>
      <c r="AF29">
        <f>AE29*Z29</f>
        <v>0</v>
      </c>
      <c r="AG29">
        <f>0.5*(Y30-Y29)*(AF29+AF30)</f>
        <v>0</v>
      </c>
      <c r="AH29">
        <f>VLOOKUP(Y29,'Hazard Weighting Functions'!$B$5:$G$1205,5,FALSE)</f>
        <v>0</v>
      </c>
      <c r="AI29">
        <f>AH29*Z29</f>
        <v>0</v>
      </c>
      <c r="AJ29">
        <f>0.5*(Y30-Y29)*(AI29+AI30)</f>
        <v>0</v>
      </c>
      <c r="AP29" s="20">
        <f>'IEC_EN62471- Halogen non-GLS'!E79</f>
        <v>300</v>
      </c>
      <c r="AQ29" s="20">
        <f>IF($G$8&lt;100,IF($G$9&lt;100,C79,F79),F79)</f>
        <v>1.78704</v>
      </c>
      <c r="AR29">
        <f>VLOOKUP(AP29,'Hazard Weighting Functions'!$B$5:$G$1205,3,FALSE)</f>
        <v>0.01</v>
      </c>
      <c r="AS29">
        <f>AQ29*AR29</f>
        <v>1.7870400000000002E-2</v>
      </c>
      <c r="AT29">
        <f>0.5*(AP30-AP29)*(AS29+AS30)</f>
        <v>3.7001758594498405E-2</v>
      </c>
      <c r="AU29" s="20">
        <f t="shared" ref="AU29:AU92" si="11">N29</f>
        <v>300</v>
      </c>
      <c r="AV29">
        <f>O29</f>
        <v>14296.319999999998</v>
      </c>
      <c r="AW29">
        <f>VLOOKUP(AU29,'Hazard Weighting Functions'!$B$5:$G$1205,3,FALSE)</f>
        <v>0.01</v>
      </c>
      <c r="AX29">
        <f>AV29*AW29</f>
        <v>142.96319999999997</v>
      </c>
      <c r="AY29">
        <f>0.5*(AU30-AU29)*(AX29+AX30)</f>
        <v>296.01406875598718</v>
      </c>
      <c r="AZ29" s="20">
        <f t="shared" si="2"/>
        <v>300</v>
      </c>
      <c r="BA29" s="20">
        <f t="shared" si="3"/>
        <v>14296.32</v>
      </c>
      <c r="BB29">
        <f>VLOOKUP(AZ29,'Hazard Weighting Functions'!$B$5:$G$1205,3,FALSE)</f>
        <v>0.01</v>
      </c>
      <c r="BC29">
        <f>BA29*BB29</f>
        <v>142.9632</v>
      </c>
      <c r="BD29">
        <f>0.5*(AZ30-AZ29)*(BC29+BC30)</f>
        <v>296.01406880000002</v>
      </c>
      <c r="BF29" s="20">
        <f>H119</f>
        <v>380</v>
      </c>
      <c r="BG29" s="20">
        <f>I119</f>
        <v>13.171099999999999</v>
      </c>
      <c r="BH29" s="19">
        <f>VLOOKUP(BF29,'Hazard Weighting Functions'!$B$5:$G$1205,4,FALSE)</f>
        <v>0.1</v>
      </c>
      <c r="BI29" s="19">
        <f>BG29*BH29</f>
        <v>1.31711</v>
      </c>
      <c r="BJ29" s="19">
        <f>0.5*(BF30-BF29)*(BI29+BI30)</f>
        <v>2.8354383812444457</v>
      </c>
      <c r="BK29" s="1">
        <f t="shared" si="7"/>
        <v>300</v>
      </c>
      <c r="BL29" s="20">
        <f t="shared" si="8"/>
        <v>14296.319999999998</v>
      </c>
      <c r="BM29">
        <f>VLOOKUP(BK29,'Hazard Weighting Functions'!$B$5:$G$1205,4,FALSE)</f>
        <v>0</v>
      </c>
      <c r="BN29">
        <f>BM29*BL29</f>
        <v>0</v>
      </c>
      <c r="BO29">
        <f>0.5*(BK30-BK29)*(BN29+BN30)</f>
        <v>0</v>
      </c>
      <c r="BP29" s="20">
        <f t="shared" si="9"/>
        <v>300</v>
      </c>
      <c r="BQ29" s="20">
        <f t="shared" si="10"/>
        <v>14296.32</v>
      </c>
      <c r="BR29" s="19">
        <f>VLOOKUP(BP29,'Hazard Weighting Functions'!$B$5:$G$1205,4,FALSE)</f>
        <v>0</v>
      </c>
      <c r="BS29" s="19">
        <f>BR29*BQ29</f>
        <v>0</v>
      </c>
      <c r="BT29" s="19">
        <f>0.5*(BP30-BP29)*(BS29+BS30)</f>
        <v>0</v>
      </c>
      <c r="BV29">
        <f>VLOOKUP(BK29,'Hazard Weighting Functions'!$B$5:$G$1205,5,FALSE)</f>
        <v>0</v>
      </c>
      <c r="BW29">
        <f>BV29*BL29</f>
        <v>0</v>
      </c>
      <c r="BX29">
        <f>0.5*(BK30-BK29)*(BW29+BW30)</f>
        <v>0</v>
      </c>
    </row>
    <row r="30" spans="1:78">
      <c r="B30">
        <v>202</v>
      </c>
      <c r="C30" s="36">
        <v>2.6564101813856119E-3</v>
      </c>
      <c r="E30">
        <v>202</v>
      </c>
      <c r="F30" s="36">
        <v>2.6564101813856119E-3</v>
      </c>
      <c r="H30" s="19">
        <v>202</v>
      </c>
      <c r="I30" s="36">
        <v>2.6564101813856119E-3</v>
      </c>
      <c r="K30">
        <v>1005</v>
      </c>
      <c r="L30" s="36">
        <v>1783.396863372237</v>
      </c>
      <c r="N30">
        <v>302</v>
      </c>
      <c r="O30" s="36">
        <v>15305.086875598723</v>
      </c>
      <c r="Q30" s="19">
        <v>302</v>
      </c>
      <c r="R30" s="36">
        <v>15305.086880000001</v>
      </c>
      <c r="T30">
        <f>L30/C250</f>
        <v>12.547822127745674</v>
      </c>
      <c r="U30">
        <f>L29/T29</f>
        <v>142.65</v>
      </c>
      <c r="V30">
        <f t="shared" ref="V30:V93" si="12">B30</f>
        <v>202</v>
      </c>
      <c r="W30">
        <f t="shared" ref="W30:W93" si="13">C30</f>
        <v>2.6564101813856119E-3</v>
      </c>
      <c r="Y30">
        <f t="shared" ref="Y30:Y93" si="14">V30</f>
        <v>202</v>
      </c>
      <c r="Z30">
        <f t="shared" ref="Z30:Z93" si="15">W30</f>
        <v>2.6564101813856119E-3</v>
      </c>
      <c r="AA30">
        <f>VLOOKUP(Y30,'Hazard Weighting Functions'!$B$5:$G$1205,2,FALSE)</f>
        <v>3.7100000000000001E-2</v>
      </c>
      <c r="AB30">
        <f t="shared" ref="AB30:AB93" si="16">Z30*AA30</f>
        <v>9.8552817729406203E-5</v>
      </c>
      <c r="AC30">
        <f t="shared" ref="AC30:AC93" si="17">0.5*(Y31-Y30)*(AB30+AB31)</f>
        <v>2.8631231743020565E-4</v>
      </c>
      <c r="AE30">
        <f>VLOOKUP(Y30,'Hazard Weighting Functions'!$B$5:$G$1205,3,FALSE)</f>
        <v>0</v>
      </c>
      <c r="AF30">
        <f t="shared" ref="AF30:AF93" si="18">AE30*Z30</f>
        <v>0</v>
      </c>
      <c r="AG30">
        <f t="shared" ref="AG30:AG93" si="19">0.5*(Y31-Y30)*(AF30+AF31)</f>
        <v>0</v>
      </c>
      <c r="AH30">
        <f>VLOOKUP(Y30,'Hazard Weighting Functions'!$B$5:$G$1205,5,FALSE)</f>
        <v>0</v>
      </c>
      <c r="AI30">
        <f t="shared" ref="AI30:AI93" si="20">AH30*Z30</f>
        <v>0</v>
      </c>
      <c r="AJ30">
        <f t="shared" ref="AJ30:AJ93" si="21">0.5*(Y31-Y30)*(AI30+AI31)</f>
        <v>0</v>
      </c>
      <c r="AP30" s="20">
        <f>'IEC_EN62471- Halogen non-GLS'!E80</f>
        <v>302</v>
      </c>
      <c r="AQ30" s="20">
        <f t="shared" ref="AQ30:AQ93" si="22">IF($G$8&lt;100,IF($G$9&lt;100,C80,F80),F80)</f>
        <v>1.9131358594498404</v>
      </c>
      <c r="AR30">
        <f>VLOOKUP(AP30,'Hazard Weighting Functions'!$B$5:$G$1205,3,FALSE)</f>
        <v>0.01</v>
      </c>
      <c r="AS30">
        <f t="shared" ref="AS30:AS93" si="23">AQ30*AR30</f>
        <v>1.9131358594498406E-2</v>
      </c>
      <c r="AT30">
        <f t="shared" ref="AT30:AT93" si="24">0.5*(AP31-AP30)*(AS30+AS31)</f>
        <v>3.9604819272698308E-2</v>
      </c>
      <c r="AU30" s="20">
        <f t="shared" si="11"/>
        <v>302</v>
      </c>
      <c r="AV30">
        <f>O30</f>
        <v>15305.086875598723</v>
      </c>
      <c r="AW30" s="19">
        <f>VLOOKUP(AU30,'Hazard Weighting Functions'!$B$5:$G$1205,3,FALSE)</f>
        <v>0.01</v>
      </c>
      <c r="AX30">
        <f t="shared" ref="AX30:AX93" si="25">AV30*AW30</f>
        <v>153.05086875598724</v>
      </c>
      <c r="AY30" s="19">
        <f t="shared" ref="AY30:AY93" si="26">0.5*(AU31-AU30)*(AX30+AX31)</f>
        <v>316.8385541815864</v>
      </c>
      <c r="AZ30" s="20">
        <f t="shared" si="2"/>
        <v>302</v>
      </c>
      <c r="BA30" s="20">
        <f t="shared" si="3"/>
        <v>15305.086880000001</v>
      </c>
      <c r="BB30" s="19">
        <f>VLOOKUP(AZ30,'Hazard Weighting Functions'!$B$5:$G$1205,3,FALSE)</f>
        <v>0.01</v>
      </c>
      <c r="BC30">
        <f t="shared" ref="BC30:BC93" si="27">BA30*BB30</f>
        <v>153.05086880000002</v>
      </c>
      <c r="BD30" s="19">
        <f t="shared" ref="BD30:BD93" si="28">0.5*(AZ31-AZ30)*(BC30+BC31)</f>
        <v>316.83855419999998</v>
      </c>
      <c r="BF30" s="20">
        <f t="shared" ref="BF30:BG30" si="29">H120</f>
        <v>382</v>
      </c>
      <c r="BG30" s="20">
        <f t="shared" si="29"/>
        <v>13.670624926440128</v>
      </c>
      <c r="BH30" s="19">
        <f>VLOOKUP(BF30,'Hazard Weighting Functions'!$B$5:$G$1205,4,FALSE)</f>
        <v>0.11106503099999999</v>
      </c>
      <c r="BI30" s="19">
        <f t="shared" ref="BI30:BI93" si="30">BG30*BH30</f>
        <v>1.5183283812444455</v>
      </c>
      <c r="BJ30" s="19">
        <f t="shared" ref="BJ30:BJ93" si="31">0.5*(BF31-BF30)*(BI30+BI31)</f>
        <v>3.2673345772489917</v>
      </c>
      <c r="BK30" s="1">
        <f t="shared" si="7"/>
        <v>302</v>
      </c>
      <c r="BL30" s="20">
        <f t="shared" si="8"/>
        <v>15305.086875598723</v>
      </c>
      <c r="BM30">
        <f>VLOOKUP(BK30,'Hazard Weighting Functions'!$B$5:$G$1205,4,FALSE)</f>
        <v>0</v>
      </c>
      <c r="BN30">
        <f t="shared" ref="BN30:BN67" si="32">BM30*BL30</f>
        <v>0</v>
      </c>
      <c r="BO30" s="19">
        <f t="shared" ref="BO30:BO67" si="33">0.5*(BK31-BK30)*(BN30+BN31)</f>
        <v>0</v>
      </c>
      <c r="BP30" s="20">
        <f t="shared" si="9"/>
        <v>302</v>
      </c>
      <c r="BQ30" s="20">
        <f t="shared" si="10"/>
        <v>15305.086880000001</v>
      </c>
      <c r="BR30" s="19">
        <f>VLOOKUP(BP30,'Hazard Weighting Functions'!$B$5:$G$1205,4,FALSE)</f>
        <v>0</v>
      </c>
      <c r="BS30" s="19">
        <f t="shared" ref="BS30:BS93" si="34">BR30*BQ30</f>
        <v>0</v>
      </c>
      <c r="BT30" s="19">
        <f t="shared" ref="BT30:BT93" si="35">0.5*(BP31-BP30)*(BS30+BS31)</f>
        <v>0</v>
      </c>
      <c r="BV30">
        <f>VLOOKUP(BK30,'Hazard Weighting Functions'!$B$5:$G$1205,5,FALSE)</f>
        <v>0</v>
      </c>
      <c r="BW30" s="24">
        <f t="shared" ref="BW30:BW93" si="36">BV30*BL30</f>
        <v>0</v>
      </c>
      <c r="BX30" s="24">
        <f t="shared" ref="BX30:BX93" si="37">0.5*(BK31-BK30)*(BW30+BW31)</f>
        <v>0</v>
      </c>
    </row>
    <row r="31" spans="1:78">
      <c r="B31">
        <v>204</v>
      </c>
      <c r="C31" s="36">
        <v>4.090620908514149E-3</v>
      </c>
      <c r="E31">
        <v>204</v>
      </c>
      <c r="F31" s="36">
        <v>4.090620908514149E-3</v>
      </c>
      <c r="H31" s="19">
        <v>204</v>
      </c>
      <c r="I31" s="36">
        <v>4.090620908514149E-3</v>
      </c>
      <c r="K31">
        <v>1010</v>
      </c>
      <c r="L31" s="36">
        <v>1775.9988853286595</v>
      </c>
      <c r="N31">
        <v>304</v>
      </c>
      <c r="O31" s="36">
        <v>16378.768542559917</v>
      </c>
      <c r="Q31" s="19">
        <v>304</v>
      </c>
      <c r="R31" s="36">
        <v>16378.768539999999</v>
      </c>
      <c r="T31">
        <f>L31/C251</f>
        <v>12.542985072204555</v>
      </c>
      <c r="V31">
        <f t="shared" si="12"/>
        <v>204</v>
      </c>
      <c r="W31">
        <f t="shared" si="13"/>
        <v>4.090620908514149E-3</v>
      </c>
      <c r="Y31">
        <f t="shared" si="14"/>
        <v>204</v>
      </c>
      <c r="Z31">
        <f t="shared" si="15"/>
        <v>4.090620908514149E-3</v>
      </c>
      <c r="AA31">
        <f>VLOOKUP(Y31,'Hazard Weighting Functions'!$B$5:$G$1205,2,FALSE)</f>
        <v>4.5900000000000003E-2</v>
      </c>
      <c r="AB31">
        <f t="shared" si="16"/>
        <v>1.8775949970079945E-4</v>
      </c>
      <c r="AC31">
        <f t="shared" si="17"/>
        <v>5.0248351592654028E-4</v>
      </c>
      <c r="AE31">
        <f>VLOOKUP(Y31,'Hazard Weighting Functions'!$B$5:$G$1205,3,FALSE)</f>
        <v>0</v>
      </c>
      <c r="AF31">
        <f t="shared" si="18"/>
        <v>0</v>
      </c>
      <c r="AG31">
        <f t="shared" si="19"/>
        <v>0</v>
      </c>
      <c r="AH31">
        <f>VLOOKUP(Y31,'Hazard Weighting Functions'!$B$5:$G$1205,5,FALSE)</f>
        <v>0</v>
      </c>
      <c r="AI31">
        <f t="shared" si="20"/>
        <v>0</v>
      </c>
      <c r="AJ31">
        <f t="shared" si="21"/>
        <v>0</v>
      </c>
      <c r="AP31" s="20">
        <f>'IEC_EN62471- Halogen non-GLS'!E81</f>
        <v>304</v>
      </c>
      <c r="AQ31" s="20">
        <f t="shared" si="22"/>
        <v>2.0473460678199902</v>
      </c>
      <c r="AR31">
        <f>VLOOKUP(AP31,'Hazard Weighting Functions'!$B$5:$G$1205,3,FALSE)</f>
        <v>0.01</v>
      </c>
      <c r="AS31">
        <f t="shared" si="23"/>
        <v>2.0473460678199901E-2</v>
      </c>
      <c r="AT31">
        <f t="shared" si="24"/>
        <v>4.2344046590478891E-2</v>
      </c>
      <c r="AU31" s="20">
        <f t="shared" si="11"/>
        <v>304</v>
      </c>
      <c r="AV31">
        <f>O31</f>
        <v>16378.768542559917</v>
      </c>
      <c r="AW31" s="19">
        <f>VLOOKUP(AU31,'Hazard Weighting Functions'!$B$5:$G$1205,3,FALSE)</f>
        <v>0.01</v>
      </c>
      <c r="AX31">
        <f t="shared" si="25"/>
        <v>163.78768542559916</v>
      </c>
      <c r="AY31" s="19">
        <f t="shared" si="26"/>
        <v>338.75237272383106</v>
      </c>
      <c r="AZ31" s="20">
        <f t="shared" si="2"/>
        <v>304</v>
      </c>
      <c r="BA31" s="20">
        <f t="shared" si="3"/>
        <v>16378.768539999999</v>
      </c>
      <c r="BB31" s="19">
        <f>VLOOKUP(AZ31,'Hazard Weighting Functions'!$B$5:$G$1205,3,FALSE)</f>
        <v>0.01</v>
      </c>
      <c r="BC31">
        <f t="shared" si="27"/>
        <v>163.78768539999999</v>
      </c>
      <c r="BD31" s="19">
        <f t="shared" si="28"/>
        <v>338.75237270000002</v>
      </c>
      <c r="BF31" s="20">
        <f t="shared" ref="BF31:BG31" si="38">H121</f>
        <v>384</v>
      </c>
      <c r="BG31" s="20">
        <f t="shared" si="38"/>
        <v>14.178708292671061</v>
      </c>
      <c r="BH31" s="19">
        <f>VLOOKUP(BF31,'Hazard Weighting Functions'!$B$5:$G$1205,4,FALSE)</f>
        <v>0.12335441</v>
      </c>
      <c r="BI31" s="19">
        <f t="shared" si="30"/>
        <v>1.749006196004546</v>
      </c>
      <c r="BJ31" s="19">
        <f t="shared" si="31"/>
        <v>3.923761356420679</v>
      </c>
      <c r="BK31" s="1">
        <f t="shared" si="7"/>
        <v>304</v>
      </c>
      <c r="BL31" s="20">
        <f t="shared" si="8"/>
        <v>16378.768542559917</v>
      </c>
      <c r="BM31">
        <f>VLOOKUP(BK31,'Hazard Weighting Functions'!$B$5:$G$1205,4,FALSE)</f>
        <v>0</v>
      </c>
      <c r="BN31">
        <f t="shared" si="32"/>
        <v>0</v>
      </c>
      <c r="BO31" s="19">
        <f t="shared" si="33"/>
        <v>0</v>
      </c>
      <c r="BP31" s="20">
        <f t="shared" si="9"/>
        <v>304</v>
      </c>
      <c r="BQ31" s="20">
        <f t="shared" si="10"/>
        <v>16378.768539999999</v>
      </c>
      <c r="BR31" s="19">
        <f>VLOOKUP(BP31,'Hazard Weighting Functions'!$B$5:$G$1205,4,FALSE)</f>
        <v>0</v>
      </c>
      <c r="BS31" s="19">
        <f t="shared" si="34"/>
        <v>0</v>
      </c>
      <c r="BT31" s="19">
        <f t="shared" si="35"/>
        <v>0</v>
      </c>
      <c r="BV31">
        <f>VLOOKUP(BK31,'Hazard Weighting Functions'!$B$5:$G$1205,5,FALSE)</f>
        <v>0</v>
      </c>
      <c r="BW31" s="24">
        <f t="shared" si="36"/>
        <v>0</v>
      </c>
      <c r="BX31" s="24">
        <f t="shared" si="37"/>
        <v>0</v>
      </c>
    </row>
    <row r="32" spans="1:78">
      <c r="B32">
        <v>206</v>
      </c>
      <c r="C32" s="36">
        <v>5.7118696229717025E-3</v>
      </c>
      <c r="E32">
        <v>206</v>
      </c>
      <c r="F32" s="36">
        <v>5.7118696229717025E-3</v>
      </c>
      <c r="H32" s="19">
        <v>206</v>
      </c>
      <c r="I32" s="36">
        <v>5.7118696229717025E-3</v>
      </c>
      <c r="K32">
        <v>1015</v>
      </c>
      <c r="L32" s="36">
        <v>1770.5558339654356</v>
      </c>
      <c r="N32">
        <v>306</v>
      </c>
      <c r="O32" s="36">
        <v>17496.468729823187</v>
      </c>
      <c r="Q32" s="19">
        <v>306</v>
      </c>
      <c r="R32" s="36">
        <v>17496.468730000001</v>
      </c>
      <c r="T32">
        <f>L32/C252</f>
        <v>12.553038256777475</v>
      </c>
      <c r="V32">
        <f t="shared" si="12"/>
        <v>206</v>
      </c>
      <c r="W32">
        <f t="shared" si="13"/>
        <v>5.7118696229717025E-3</v>
      </c>
      <c r="Y32">
        <f t="shared" si="14"/>
        <v>206</v>
      </c>
      <c r="Z32">
        <f t="shared" si="15"/>
        <v>5.7118696229717025E-3</v>
      </c>
      <c r="AA32">
        <f>VLOOKUP(Y32,'Hazard Weighting Functions'!$B$5:$G$1205,2,FALSE)</f>
        <v>5.5100000000000003E-2</v>
      </c>
      <c r="AB32">
        <f t="shared" si="16"/>
        <v>3.1472401622574081E-4</v>
      </c>
      <c r="AC32">
        <f t="shared" si="17"/>
        <v>8.0138239916807685E-4</v>
      </c>
      <c r="AE32">
        <f>VLOOKUP(Y32,'Hazard Weighting Functions'!$B$5:$G$1205,3,FALSE)</f>
        <v>0</v>
      </c>
      <c r="AF32">
        <f t="shared" si="18"/>
        <v>0</v>
      </c>
      <c r="AG32">
        <f t="shared" si="19"/>
        <v>0</v>
      </c>
      <c r="AH32">
        <f>VLOOKUP(Y32,'Hazard Weighting Functions'!$B$5:$G$1205,5,FALSE)</f>
        <v>0</v>
      </c>
      <c r="AI32">
        <f t="shared" si="20"/>
        <v>0</v>
      </c>
      <c r="AJ32">
        <f t="shared" si="21"/>
        <v>0</v>
      </c>
      <c r="AP32" s="20">
        <f>'IEC_EN62471- Halogen non-GLS'!E82</f>
        <v>306</v>
      </c>
      <c r="AQ32" s="20">
        <f t="shared" si="22"/>
        <v>2.187058591227899</v>
      </c>
      <c r="AR32">
        <f>VLOOKUP(AP32,'Hazard Weighting Functions'!$B$5:$G$1205,3,FALSE)</f>
        <v>0.01</v>
      </c>
      <c r="AS32">
        <f t="shared" si="23"/>
        <v>2.187058591227899E-2</v>
      </c>
      <c r="AT32">
        <f t="shared" si="24"/>
        <v>4.5195014974935582E-2</v>
      </c>
      <c r="AU32" s="20">
        <f t="shared" si="11"/>
        <v>306</v>
      </c>
      <c r="AV32">
        <f>O32</f>
        <v>17496.468729823187</v>
      </c>
      <c r="AW32" s="19">
        <f>VLOOKUP(AU32,'Hazard Weighting Functions'!$B$5:$G$1205,3,FALSE)</f>
        <v>0.01</v>
      </c>
      <c r="AX32">
        <f t="shared" si="25"/>
        <v>174.96468729823187</v>
      </c>
      <c r="AY32" s="19">
        <f t="shared" si="26"/>
        <v>361.56011979948448</v>
      </c>
      <c r="AZ32" s="20">
        <f t="shared" si="2"/>
        <v>306</v>
      </c>
      <c r="BA32" s="20">
        <f t="shared" si="3"/>
        <v>17496.468730000001</v>
      </c>
      <c r="BB32" s="19">
        <f>VLOOKUP(AZ32,'Hazard Weighting Functions'!$B$5:$G$1205,3,FALSE)</f>
        <v>0.01</v>
      </c>
      <c r="BC32">
        <f t="shared" si="27"/>
        <v>174.96468730000001</v>
      </c>
      <c r="BD32" s="19">
        <f t="shared" si="28"/>
        <v>361.5601198</v>
      </c>
      <c r="BF32" s="20">
        <f t="shared" ref="BF32:BG32" si="39">H122</f>
        <v>386</v>
      </c>
      <c r="BG32" s="20">
        <f t="shared" si="39"/>
        <v>14.678027180207351</v>
      </c>
      <c r="BH32" s="19">
        <f>VLOOKUP(BF32,'Hazard Weighting Functions'!$B$5:$G$1205,4,FALSE)</f>
        <v>0.14816399599999999</v>
      </c>
      <c r="BI32" s="19">
        <f t="shared" si="30"/>
        <v>2.174755160416133</v>
      </c>
      <c r="BJ32" s="19">
        <f t="shared" si="31"/>
        <v>5.094256515815184</v>
      </c>
      <c r="BK32" s="1">
        <f t="shared" si="7"/>
        <v>306</v>
      </c>
      <c r="BL32" s="20">
        <f t="shared" si="8"/>
        <v>17496.468729823187</v>
      </c>
      <c r="BM32">
        <f>VLOOKUP(BK32,'Hazard Weighting Functions'!$B$5:$G$1205,4,FALSE)</f>
        <v>0</v>
      </c>
      <c r="BN32">
        <f t="shared" si="32"/>
        <v>0</v>
      </c>
      <c r="BO32" s="19">
        <f t="shared" si="33"/>
        <v>0</v>
      </c>
      <c r="BP32" s="20">
        <f t="shared" si="9"/>
        <v>306</v>
      </c>
      <c r="BQ32" s="20">
        <f t="shared" si="10"/>
        <v>17496.468730000001</v>
      </c>
      <c r="BR32" s="19">
        <f>VLOOKUP(BP32,'Hazard Weighting Functions'!$B$5:$G$1205,4,FALSE)</f>
        <v>0</v>
      </c>
      <c r="BS32" s="19">
        <f t="shared" si="34"/>
        <v>0</v>
      </c>
      <c r="BT32" s="19">
        <f t="shared" si="35"/>
        <v>0</v>
      </c>
      <c r="BV32">
        <f>VLOOKUP(BK32,'Hazard Weighting Functions'!$B$5:$G$1205,5,FALSE)</f>
        <v>0</v>
      </c>
      <c r="BW32" s="24">
        <f t="shared" si="36"/>
        <v>0</v>
      </c>
      <c r="BX32" s="24">
        <f t="shared" si="37"/>
        <v>0</v>
      </c>
    </row>
    <row r="33" spans="2:76">
      <c r="B33">
        <v>208</v>
      </c>
      <c r="C33" s="36">
        <v>7.5685596103007178E-3</v>
      </c>
      <c r="E33">
        <v>208</v>
      </c>
      <c r="F33" s="36">
        <v>7.5685596103007178E-3</v>
      </c>
      <c r="H33" s="19">
        <v>208</v>
      </c>
      <c r="I33" s="36">
        <v>7.5685596103007178E-3</v>
      </c>
      <c r="K33">
        <v>1020</v>
      </c>
      <c r="L33" s="36">
        <v>1763.3078313263925</v>
      </c>
      <c r="N33">
        <v>308</v>
      </c>
      <c r="O33" s="36">
        <v>18659.543250125265</v>
      </c>
      <c r="Q33" s="19">
        <v>308</v>
      </c>
      <c r="R33" s="36">
        <v>18659.543249999999</v>
      </c>
      <c r="T33">
        <f>L33/C253</f>
        <v>12.551395013961381</v>
      </c>
      <c r="V33">
        <f t="shared" si="12"/>
        <v>208</v>
      </c>
      <c r="W33">
        <f t="shared" si="13"/>
        <v>7.5685596103007178E-3</v>
      </c>
      <c r="Y33">
        <f t="shared" si="14"/>
        <v>208</v>
      </c>
      <c r="Z33">
        <f t="shared" si="15"/>
        <v>7.5685596103007178E-3</v>
      </c>
      <c r="AA33">
        <f>VLOOKUP(Y33,'Hazard Weighting Functions'!$B$5:$G$1205,2,FALSE)</f>
        <v>6.4299999999999996E-2</v>
      </c>
      <c r="AB33">
        <f t="shared" si="16"/>
        <v>4.866583829423361E-4</v>
      </c>
      <c r="AC33">
        <f t="shared" si="17"/>
        <v>1.206498632942336E-3</v>
      </c>
      <c r="AE33">
        <f>VLOOKUP(Y33,'Hazard Weighting Functions'!$B$5:$G$1205,3,FALSE)</f>
        <v>0</v>
      </c>
      <c r="AF33">
        <f t="shared" si="18"/>
        <v>0</v>
      </c>
      <c r="AG33">
        <f t="shared" si="19"/>
        <v>0</v>
      </c>
      <c r="AH33">
        <f>VLOOKUP(Y33,'Hazard Weighting Functions'!$B$5:$G$1205,5,FALSE)</f>
        <v>0</v>
      </c>
      <c r="AI33">
        <f t="shared" si="20"/>
        <v>0</v>
      </c>
      <c r="AJ33">
        <f t="shared" si="21"/>
        <v>0</v>
      </c>
      <c r="AP33" s="20">
        <f>'IEC_EN62471- Halogen non-GLS'!E83</f>
        <v>308</v>
      </c>
      <c r="AQ33" s="20">
        <f t="shared" si="22"/>
        <v>2.3324429062656589</v>
      </c>
      <c r="AR33">
        <f>VLOOKUP(AP33,'Hazard Weighting Functions'!$B$5:$G$1205,3,FALSE)</f>
        <v>0.01</v>
      </c>
      <c r="AS33">
        <f t="shared" si="23"/>
        <v>2.3324429062656589E-2</v>
      </c>
      <c r="AT33">
        <f t="shared" si="24"/>
        <v>4.8188929062656594E-2</v>
      </c>
      <c r="AU33" s="20">
        <f t="shared" si="11"/>
        <v>308</v>
      </c>
      <c r="AV33">
        <f>O33</f>
        <v>18659.543250125265</v>
      </c>
      <c r="AW33" s="19">
        <f>VLOOKUP(AU33,'Hazard Weighting Functions'!$B$5:$G$1205,3,FALSE)</f>
        <v>0.01</v>
      </c>
      <c r="AX33">
        <f t="shared" si="25"/>
        <v>186.59543250125265</v>
      </c>
      <c r="AY33" s="19">
        <f t="shared" si="26"/>
        <v>385.51143250125267</v>
      </c>
      <c r="AZ33" s="20">
        <f t="shared" si="2"/>
        <v>308</v>
      </c>
      <c r="BA33" s="20">
        <f t="shared" si="3"/>
        <v>18659.543249999999</v>
      </c>
      <c r="BB33" s="19">
        <f>VLOOKUP(AZ33,'Hazard Weighting Functions'!$B$5:$G$1205,3,FALSE)</f>
        <v>0.01</v>
      </c>
      <c r="BC33">
        <f t="shared" si="27"/>
        <v>186.59543249999999</v>
      </c>
      <c r="BD33" s="19">
        <f t="shared" si="28"/>
        <v>385.51143249999996</v>
      </c>
      <c r="BF33" s="20">
        <f t="shared" ref="BF33:BG33" si="40">H123</f>
        <v>388</v>
      </c>
      <c r="BG33" s="20">
        <f t="shared" si="40"/>
        <v>15.169362701512709</v>
      </c>
      <c r="BH33" s="19">
        <f>VLOOKUP(BF33,'Hazard Weighting Functions'!$B$5:$G$1205,4,FALSE)</f>
        <v>0.19246038300000001</v>
      </c>
      <c r="BI33" s="19">
        <f t="shared" si="30"/>
        <v>2.919501355399051</v>
      </c>
      <c r="BJ33" s="19">
        <f t="shared" si="31"/>
        <v>6.8374013553990514</v>
      </c>
      <c r="BK33" s="1">
        <f t="shared" si="7"/>
        <v>308</v>
      </c>
      <c r="BL33" s="20">
        <f t="shared" si="8"/>
        <v>18659.543250125265</v>
      </c>
      <c r="BM33">
        <f>VLOOKUP(BK33,'Hazard Weighting Functions'!$B$5:$G$1205,4,FALSE)</f>
        <v>0</v>
      </c>
      <c r="BN33">
        <f t="shared" si="32"/>
        <v>0</v>
      </c>
      <c r="BO33" s="19">
        <f t="shared" si="33"/>
        <v>0</v>
      </c>
      <c r="BP33" s="20">
        <f t="shared" si="9"/>
        <v>308</v>
      </c>
      <c r="BQ33" s="20">
        <f t="shared" si="10"/>
        <v>18659.543249999999</v>
      </c>
      <c r="BR33" s="19">
        <f>VLOOKUP(BP33,'Hazard Weighting Functions'!$B$5:$G$1205,4,FALSE)</f>
        <v>0</v>
      </c>
      <c r="BS33" s="19">
        <f t="shared" si="34"/>
        <v>0</v>
      </c>
      <c r="BT33" s="19">
        <f t="shared" si="35"/>
        <v>0</v>
      </c>
      <c r="BV33">
        <f>VLOOKUP(BK33,'Hazard Weighting Functions'!$B$5:$G$1205,5,FALSE)</f>
        <v>0</v>
      </c>
      <c r="BW33" s="24">
        <f t="shared" si="36"/>
        <v>0</v>
      </c>
      <c r="BX33" s="24">
        <f t="shared" si="37"/>
        <v>0</v>
      </c>
    </row>
    <row r="34" spans="2:76">
      <c r="B34">
        <v>210</v>
      </c>
      <c r="C34" s="36">
        <v>9.5978699999999997E-3</v>
      </c>
      <c r="E34">
        <v>210</v>
      </c>
      <c r="F34" s="36">
        <v>9.5978699999999997E-3</v>
      </c>
      <c r="H34" s="19">
        <v>210</v>
      </c>
      <c r="I34" s="36">
        <v>9.5978699999999997E-3</v>
      </c>
      <c r="K34">
        <v>1025</v>
      </c>
      <c r="L34" s="36">
        <v>1755.2398500415334</v>
      </c>
      <c r="N34">
        <v>310</v>
      </c>
      <c r="O34" s="36">
        <v>19891.599999999999</v>
      </c>
      <c r="Q34" s="19">
        <v>310</v>
      </c>
      <c r="R34" s="36">
        <v>19891.599999999999</v>
      </c>
      <c r="T34">
        <f>L34/C254</f>
        <v>12.544864813007235</v>
      </c>
      <c r="V34">
        <f t="shared" si="12"/>
        <v>210</v>
      </c>
      <c r="W34">
        <f t="shared" si="13"/>
        <v>9.5978699999999997E-3</v>
      </c>
      <c r="Y34">
        <f t="shared" si="14"/>
        <v>210</v>
      </c>
      <c r="Z34">
        <f t="shared" si="15"/>
        <v>9.5978699999999997E-3</v>
      </c>
      <c r="AA34">
        <f>VLOOKUP(Y34,'Hazard Weighting Functions'!$B$5:$G$1205,2,FALSE)</f>
        <v>7.4999999999999997E-2</v>
      </c>
      <c r="AB34">
        <f t="shared" si="16"/>
        <v>7.1984025E-4</v>
      </c>
      <c r="AC34">
        <f t="shared" si="17"/>
        <v>1.6914429785256629E-3</v>
      </c>
      <c r="AE34">
        <f>VLOOKUP(Y34,'Hazard Weighting Functions'!$B$5:$G$1205,3,FALSE)</f>
        <v>0</v>
      </c>
      <c r="AF34">
        <f t="shared" si="18"/>
        <v>0</v>
      </c>
      <c r="AG34">
        <f t="shared" si="19"/>
        <v>0</v>
      </c>
      <c r="AH34">
        <f>VLOOKUP(Y34,'Hazard Weighting Functions'!$B$5:$G$1205,5,FALSE)</f>
        <v>0</v>
      </c>
      <c r="AI34">
        <f t="shared" si="20"/>
        <v>0</v>
      </c>
      <c r="AJ34">
        <f t="shared" si="21"/>
        <v>0</v>
      </c>
      <c r="AP34" s="20">
        <f>'IEC_EN62471- Halogen non-GLS'!E84</f>
        <v>310</v>
      </c>
      <c r="AQ34" s="20">
        <f t="shared" si="22"/>
        <v>2.4864500000000005</v>
      </c>
      <c r="AR34">
        <f>VLOOKUP(AP34,'Hazard Weighting Functions'!$B$5:$G$1205,3,FALSE)</f>
        <v>0.01</v>
      </c>
      <c r="AS34">
        <f t="shared" si="23"/>
        <v>2.4864500000000005E-2</v>
      </c>
      <c r="AT34">
        <f t="shared" si="24"/>
        <v>5.1372538343351468E-2</v>
      </c>
      <c r="AU34" s="20">
        <f t="shared" si="11"/>
        <v>310</v>
      </c>
      <c r="AV34">
        <f>O34</f>
        <v>19891.599999999999</v>
      </c>
      <c r="AW34" s="19">
        <f>VLOOKUP(AU34,'Hazard Weighting Functions'!$B$5:$G$1205,3,FALSE)</f>
        <v>0.01</v>
      </c>
      <c r="AX34">
        <f t="shared" si="25"/>
        <v>198.916</v>
      </c>
      <c r="AY34" s="19">
        <f t="shared" si="26"/>
        <v>410.98030674681166</v>
      </c>
      <c r="AZ34" s="20">
        <f t="shared" si="2"/>
        <v>310</v>
      </c>
      <c r="BA34" s="20">
        <f t="shared" si="3"/>
        <v>19891.599999999999</v>
      </c>
      <c r="BB34" s="19">
        <f>VLOOKUP(AZ34,'Hazard Weighting Functions'!$B$5:$G$1205,3,FALSE)</f>
        <v>0.01</v>
      </c>
      <c r="BC34">
        <f t="shared" si="27"/>
        <v>198.916</v>
      </c>
      <c r="BD34" s="19">
        <f t="shared" si="28"/>
        <v>410.98030670000003</v>
      </c>
      <c r="BF34" s="20">
        <f t="shared" ref="BF34:BG34" si="41">H124</f>
        <v>390</v>
      </c>
      <c r="BG34" s="20">
        <f t="shared" si="41"/>
        <v>15.671600000000002</v>
      </c>
      <c r="BH34" s="19">
        <f>VLOOKUP(BF34,'Hazard Weighting Functions'!$B$5:$G$1205,4,FALSE)</f>
        <v>0.25</v>
      </c>
      <c r="BI34" s="19">
        <f t="shared" si="30"/>
        <v>3.9179000000000004</v>
      </c>
      <c r="BJ34" s="19">
        <f t="shared" si="31"/>
        <v>9.2615743065597069</v>
      </c>
      <c r="BK34" s="1">
        <f t="shared" si="7"/>
        <v>310</v>
      </c>
      <c r="BL34" s="20">
        <f t="shared" si="8"/>
        <v>19891.599999999999</v>
      </c>
      <c r="BM34">
        <f>VLOOKUP(BK34,'Hazard Weighting Functions'!$B$5:$G$1205,4,FALSE)</f>
        <v>0</v>
      </c>
      <c r="BN34">
        <f t="shared" si="32"/>
        <v>0</v>
      </c>
      <c r="BO34" s="19">
        <f t="shared" si="33"/>
        <v>0</v>
      </c>
      <c r="BP34" s="20">
        <f t="shared" si="9"/>
        <v>310</v>
      </c>
      <c r="BQ34" s="20">
        <f t="shared" si="10"/>
        <v>19891.599999999999</v>
      </c>
      <c r="BR34" s="19">
        <f>VLOOKUP(BP34,'Hazard Weighting Functions'!$B$5:$G$1205,4,FALSE)</f>
        <v>0</v>
      </c>
      <c r="BS34" s="19">
        <f t="shared" si="34"/>
        <v>0</v>
      </c>
      <c r="BT34" s="19">
        <f t="shared" si="35"/>
        <v>0</v>
      </c>
      <c r="BV34">
        <f>VLOOKUP(BK34,'Hazard Weighting Functions'!$B$5:$G$1205,5,FALSE)</f>
        <v>0</v>
      </c>
      <c r="BW34" s="24">
        <f t="shared" si="36"/>
        <v>0</v>
      </c>
      <c r="BX34" s="24">
        <f t="shared" si="37"/>
        <v>0</v>
      </c>
    </row>
    <row r="35" spans="2:76">
      <c r="B35">
        <v>212</v>
      </c>
      <c r="C35" s="36">
        <v>1.1791295249097848E-2</v>
      </c>
      <c r="E35">
        <v>212</v>
      </c>
      <c r="F35" s="36">
        <v>1.1791295249097848E-2</v>
      </c>
      <c r="H35" s="19">
        <v>212</v>
      </c>
      <c r="I35" s="36">
        <v>1.1791295249097848E-2</v>
      </c>
      <c r="K35">
        <v>1030</v>
      </c>
      <c r="L35" s="36">
        <v>1750.1457904028759</v>
      </c>
      <c r="N35">
        <v>312</v>
      </c>
      <c r="O35" s="36">
        <v>21206.430674681167</v>
      </c>
      <c r="Q35" s="19">
        <v>312</v>
      </c>
      <c r="R35" s="36">
        <v>21206.430670000002</v>
      </c>
      <c r="T35">
        <f>L35/C255</f>
        <v>12.560614560507521</v>
      </c>
      <c r="V35">
        <f t="shared" si="12"/>
        <v>212</v>
      </c>
      <c r="W35">
        <f t="shared" si="13"/>
        <v>1.1791295249097848E-2</v>
      </c>
      <c r="Y35">
        <f t="shared" si="14"/>
        <v>212</v>
      </c>
      <c r="Z35">
        <f t="shared" si="15"/>
        <v>1.1791295249097848E-2</v>
      </c>
      <c r="AA35">
        <f>VLOOKUP(Y35,'Hazard Weighting Functions'!$B$5:$G$1205,2,FALSE)</f>
        <v>8.2400000000000001E-2</v>
      </c>
      <c r="AB35">
        <f t="shared" si="16"/>
        <v>9.7160272852566277E-4</v>
      </c>
      <c r="AC35">
        <f t="shared" si="17"/>
        <v>2.2741529902597733E-3</v>
      </c>
      <c r="AE35">
        <f>VLOOKUP(Y35,'Hazard Weighting Functions'!$B$5:$G$1205,3,FALSE)</f>
        <v>0</v>
      </c>
      <c r="AF35">
        <f t="shared" si="18"/>
        <v>0</v>
      </c>
      <c r="AG35">
        <f t="shared" si="19"/>
        <v>0</v>
      </c>
      <c r="AH35">
        <f>VLOOKUP(Y35,'Hazard Weighting Functions'!$B$5:$G$1205,5,FALSE)</f>
        <v>0</v>
      </c>
      <c r="AI35">
        <f t="shared" si="20"/>
        <v>0</v>
      </c>
      <c r="AJ35">
        <f t="shared" si="21"/>
        <v>0</v>
      </c>
      <c r="AP35" s="20">
        <f>'IEC_EN62471- Halogen non-GLS'!E85</f>
        <v>312</v>
      </c>
      <c r="AQ35" s="20">
        <f t="shared" si="22"/>
        <v>2.6508038343351465</v>
      </c>
      <c r="AR35">
        <f>VLOOKUP(AP35,'Hazard Weighting Functions'!$B$5:$G$1205,3,FALSE)</f>
        <v>0.01</v>
      </c>
      <c r="AS35">
        <f t="shared" si="23"/>
        <v>2.6508038343351466E-2</v>
      </c>
      <c r="AT35">
        <f t="shared" si="24"/>
        <v>5.472640363908321E-2</v>
      </c>
      <c r="AU35" s="20">
        <f t="shared" si="11"/>
        <v>312</v>
      </c>
      <c r="AV35">
        <f>O35</f>
        <v>21206.430674681167</v>
      </c>
      <c r="AW35" s="19">
        <f>VLOOKUP(AU35,'Hazard Weighting Functions'!$B$5:$G$1205,3,FALSE)</f>
        <v>0.01</v>
      </c>
      <c r="AX35">
        <f t="shared" si="25"/>
        <v>212.06430674681167</v>
      </c>
      <c r="AY35" s="19">
        <f t="shared" si="26"/>
        <v>437.81122911266556</v>
      </c>
      <c r="AZ35" s="20">
        <f t="shared" si="2"/>
        <v>312</v>
      </c>
      <c r="BA35" s="20">
        <f t="shared" si="3"/>
        <v>21206.430670000002</v>
      </c>
      <c r="BB35" s="19">
        <f>VLOOKUP(AZ35,'Hazard Weighting Functions'!$B$5:$G$1205,3,FALSE)</f>
        <v>0.01</v>
      </c>
      <c r="BC35">
        <f t="shared" si="27"/>
        <v>212.06430670000003</v>
      </c>
      <c r="BD35" s="19">
        <f t="shared" si="28"/>
        <v>437.81122910000005</v>
      </c>
      <c r="BF35" s="20">
        <f t="shared" ref="BF35:BG35" si="42">H125</f>
        <v>392</v>
      </c>
      <c r="BG35" s="20">
        <f t="shared" si="42"/>
        <v>16.19899132991241</v>
      </c>
      <c r="BH35" s="19">
        <f>VLOOKUP(BF35,'Hazard Weighting Functions'!$B$5:$G$1205,4,FALSE)</f>
        <v>0.32987697799999999</v>
      </c>
      <c r="BI35" s="19">
        <f t="shared" si="30"/>
        <v>5.3436743065597065</v>
      </c>
      <c r="BJ35" s="19">
        <f t="shared" si="31"/>
        <v>12.631971013171743</v>
      </c>
      <c r="BK35" s="1">
        <f t="shared" si="7"/>
        <v>312</v>
      </c>
      <c r="BL35" s="20">
        <f t="shared" si="8"/>
        <v>21206.430674681167</v>
      </c>
      <c r="BM35">
        <f>VLOOKUP(BK35,'Hazard Weighting Functions'!$B$5:$G$1205,4,FALSE)</f>
        <v>0</v>
      </c>
      <c r="BN35">
        <f t="shared" si="32"/>
        <v>0</v>
      </c>
      <c r="BO35" s="19">
        <f t="shared" si="33"/>
        <v>0</v>
      </c>
      <c r="BP35" s="20">
        <f t="shared" si="9"/>
        <v>312</v>
      </c>
      <c r="BQ35" s="20">
        <f t="shared" si="10"/>
        <v>21206.430670000002</v>
      </c>
      <c r="BR35" s="19">
        <f>VLOOKUP(BP35,'Hazard Weighting Functions'!$B$5:$G$1205,4,FALSE)</f>
        <v>0</v>
      </c>
      <c r="BS35" s="19">
        <f t="shared" si="34"/>
        <v>0</v>
      </c>
      <c r="BT35" s="19">
        <f t="shared" si="35"/>
        <v>0</v>
      </c>
      <c r="BV35">
        <f>VLOOKUP(BK35,'Hazard Weighting Functions'!$B$5:$G$1205,5,FALSE)</f>
        <v>0</v>
      </c>
      <c r="BW35" s="24">
        <f t="shared" si="36"/>
        <v>0</v>
      </c>
      <c r="BX35" s="24">
        <f t="shared" si="37"/>
        <v>0</v>
      </c>
    </row>
    <row r="36" spans="2:76">
      <c r="B36">
        <v>214</v>
      </c>
      <c r="C36" s="36">
        <v>1.4376934456226387E-2</v>
      </c>
      <c r="E36">
        <v>214</v>
      </c>
      <c r="F36" s="36">
        <v>1.4376934456226387E-2</v>
      </c>
      <c r="H36" s="19">
        <v>214</v>
      </c>
      <c r="I36" s="36">
        <v>1.4376934456226387E-2</v>
      </c>
      <c r="K36">
        <v>1035</v>
      </c>
      <c r="L36" s="36">
        <v>1741.7511970824078</v>
      </c>
      <c r="N36">
        <v>314</v>
      </c>
      <c r="O36" s="36">
        <v>22574.69223658539</v>
      </c>
      <c r="Q36" s="19">
        <v>314</v>
      </c>
      <c r="R36" s="36">
        <v>22574.69224</v>
      </c>
      <c r="T36">
        <f>L36/C256</f>
        <v>12.553614163266479</v>
      </c>
      <c r="V36">
        <f t="shared" si="12"/>
        <v>214</v>
      </c>
      <c r="W36">
        <f t="shared" si="13"/>
        <v>1.4376934456226387E-2</v>
      </c>
      <c r="Y36">
        <f t="shared" si="14"/>
        <v>214</v>
      </c>
      <c r="Z36">
        <f t="shared" si="15"/>
        <v>1.4376934456226387E-2</v>
      </c>
      <c r="AA36">
        <f>VLOOKUP(Y36,'Hazard Weighting Functions'!$B$5:$G$1205,2,FALSE)</f>
        <v>9.06E-2</v>
      </c>
      <c r="AB36">
        <f t="shared" si="16"/>
        <v>1.3025502617341107E-3</v>
      </c>
      <c r="AC36">
        <f t="shared" si="17"/>
        <v>3.0565481194565333E-3</v>
      </c>
      <c r="AE36">
        <f>VLOOKUP(Y36,'Hazard Weighting Functions'!$B$5:$G$1205,3,FALSE)</f>
        <v>0</v>
      </c>
      <c r="AF36">
        <f t="shared" si="18"/>
        <v>0</v>
      </c>
      <c r="AG36">
        <f t="shared" si="19"/>
        <v>0</v>
      </c>
      <c r="AH36">
        <f>VLOOKUP(Y36,'Hazard Weighting Functions'!$B$5:$G$1205,5,FALSE)</f>
        <v>0</v>
      </c>
      <c r="AI36">
        <f t="shared" si="20"/>
        <v>0</v>
      </c>
      <c r="AJ36">
        <f t="shared" si="21"/>
        <v>0</v>
      </c>
      <c r="AP36" s="20">
        <f>'IEC_EN62471- Halogen non-GLS'!E86</f>
        <v>314</v>
      </c>
      <c r="AQ36" s="20">
        <f t="shared" si="22"/>
        <v>2.821836529573174</v>
      </c>
      <c r="AR36">
        <f>VLOOKUP(AP36,'Hazard Weighting Functions'!$B$5:$G$1205,3,FALSE)</f>
        <v>0.01</v>
      </c>
      <c r="AS36">
        <f t="shared" si="23"/>
        <v>2.821836529573174E-2</v>
      </c>
      <c r="AT36">
        <f t="shared" si="24"/>
        <v>5.8165539001510391E-2</v>
      </c>
      <c r="AU36" s="20">
        <f t="shared" si="11"/>
        <v>314</v>
      </c>
      <c r="AV36">
        <f>O36</f>
        <v>22574.69223658539</v>
      </c>
      <c r="AW36" s="19">
        <f>VLOOKUP(AU36,'Hazard Weighting Functions'!$B$5:$G$1205,3,FALSE)</f>
        <v>0.01</v>
      </c>
      <c r="AX36">
        <f t="shared" si="25"/>
        <v>225.74692236585389</v>
      </c>
      <c r="AY36" s="19">
        <f t="shared" si="26"/>
        <v>465.32431201208311</v>
      </c>
      <c r="AZ36" s="20">
        <f t="shared" si="2"/>
        <v>314</v>
      </c>
      <c r="BA36" s="20">
        <f t="shared" si="3"/>
        <v>22574.69224</v>
      </c>
      <c r="BB36" s="19">
        <f>VLOOKUP(AZ36,'Hazard Weighting Functions'!$B$5:$G$1205,3,FALSE)</f>
        <v>0.01</v>
      </c>
      <c r="BC36">
        <f t="shared" si="27"/>
        <v>225.74692240000002</v>
      </c>
      <c r="BD36" s="19">
        <f t="shared" si="28"/>
        <v>465.32431200000002</v>
      </c>
      <c r="BF36" s="20">
        <f t="shared" ref="BF36:BG36" si="43">H126</f>
        <v>394</v>
      </c>
      <c r="BG36" s="20">
        <f t="shared" si="43"/>
        <v>16.744108861692808</v>
      </c>
      <c r="BH36" s="19">
        <f>VLOOKUP(BF36,'Hazard Weighting Functions'!$B$5:$G$1205,4,FALSE)</f>
        <v>0.43527528199999999</v>
      </c>
      <c r="BI36" s="19">
        <f t="shared" si="30"/>
        <v>7.2882967066120363</v>
      </c>
      <c r="BJ36" s="19">
        <f t="shared" si="31"/>
        <v>17.221403143896961</v>
      </c>
      <c r="BK36" s="1">
        <f t="shared" si="7"/>
        <v>314</v>
      </c>
      <c r="BL36" s="20">
        <f t="shared" si="8"/>
        <v>22574.69223658539</v>
      </c>
      <c r="BM36">
        <f>VLOOKUP(BK36,'Hazard Weighting Functions'!$B$5:$G$1205,4,FALSE)</f>
        <v>0</v>
      </c>
      <c r="BN36">
        <f t="shared" si="32"/>
        <v>0</v>
      </c>
      <c r="BO36" s="19">
        <f t="shared" si="33"/>
        <v>0</v>
      </c>
      <c r="BP36" s="20">
        <f t="shared" si="9"/>
        <v>314</v>
      </c>
      <c r="BQ36" s="20">
        <f t="shared" si="10"/>
        <v>22574.69224</v>
      </c>
      <c r="BR36" s="19">
        <f>VLOOKUP(BP36,'Hazard Weighting Functions'!$B$5:$G$1205,4,FALSE)</f>
        <v>0</v>
      </c>
      <c r="BS36" s="19">
        <f t="shared" si="34"/>
        <v>0</v>
      </c>
      <c r="BT36" s="19">
        <f t="shared" si="35"/>
        <v>0</v>
      </c>
      <c r="BV36">
        <f>VLOOKUP(BK36,'Hazard Weighting Functions'!$B$5:$G$1205,5,FALSE)</f>
        <v>0</v>
      </c>
      <c r="BW36" s="24">
        <f t="shared" si="36"/>
        <v>0</v>
      </c>
      <c r="BX36" s="24">
        <f t="shared" si="37"/>
        <v>0</v>
      </c>
    </row>
    <row r="37" spans="2:76">
      <c r="B37">
        <v>216</v>
      </c>
      <c r="C37" s="36">
        <v>1.7628119173089676E-2</v>
      </c>
      <c r="E37">
        <v>216</v>
      </c>
      <c r="F37" s="36">
        <v>1.7628119173089676E-2</v>
      </c>
      <c r="H37" s="19">
        <v>216</v>
      </c>
      <c r="I37" s="36">
        <v>1.7628119173089676E-2</v>
      </c>
      <c r="K37">
        <v>1040</v>
      </c>
      <c r="L37" s="36">
        <v>1734.535834662363</v>
      </c>
      <c r="N37">
        <v>316</v>
      </c>
      <c r="O37" s="36">
        <v>23957.73896462292</v>
      </c>
      <c r="Q37" s="19">
        <v>316</v>
      </c>
      <c r="R37" s="36">
        <v>23957.738959999999</v>
      </c>
      <c r="T37">
        <f>L37/C257</f>
        <v>12.555998339865379</v>
      </c>
      <c r="V37">
        <f t="shared" si="12"/>
        <v>216</v>
      </c>
      <c r="W37">
        <f t="shared" si="13"/>
        <v>1.7628119173089676E-2</v>
      </c>
      <c r="Y37">
        <f t="shared" si="14"/>
        <v>216</v>
      </c>
      <c r="Z37">
        <f t="shared" si="15"/>
        <v>1.7628119173089676E-2</v>
      </c>
      <c r="AA37">
        <f>VLOOKUP(Y37,'Hazard Weighting Functions'!$B$5:$G$1205,2,FALSE)</f>
        <v>9.9500000000000005E-2</v>
      </c>
      <c r="AB37">
        <f t="shared" si="16"/>
        <v>1.7539978577224228E-3</v>
      </c>
      <c r="AC37">
        <f t="shared" si="17"/>
        <v>4.1037347973551319E-3</v>
      </c>
      <c r="AE37">
        <f>VLOOKUP(Y37,'Hazard Weighting Functions'!$B$5:$G$1205,3,FALSE)</f>
        <v>0</v>
      </c>
      <c r="AF37">
        <f t="shared" si="18"/>
        <v>0</v>
      </c>
      <c r="AG37">
        <f t="shared" si="19"/>
        <v>0</v>
      </c>
      <c r="AH37">
        <f>VLOOKUP(Y37,'Hazard Weighting Functions'!$B$5:$G$1205,5,FALSE)</f>
        <v>0</v>
      </c>
      <c r="AI37">
        <f t="shared" si="20"/>
        <v>0</v>
      </c>
      <c r="AJ37">
        <f t="shared" si="21"/>
        <v>0</v>
      </c>
      <c r="AP37" s="20">
        <f>'IEC_EN62471- Halogen non-GLS'!E87</f>
        <v>316</v>
      </c>
      <c r="AQ37" s="20">
        <f t="shared" si="22"/>
        <v>2.9947173705778649</v>
      </c>
      <c r="AR37">
        <f>VLOOKUP(AP37,'Hazard Weighting Functions'!$B$5:$G$1205,3,FALSE)</f>
        <v>0.01</v>
      </c>
      <c r="AS37">
        <f t="shared" si="23"/>
        <v>2.9947173705778651E-2</v>
      </c>
      <c r="AT37">
        <f t="shared" si="24"/>
        <v>6.1635908869223932E-2</v>
      </c>
      <c r="AU37" s="20">
        <f t="shared" si="11"/>
        <v>316</v>
      </c>
      <c r="AV37">
        <f>O37</f>
        <v>23957.73896462292</v>
      </c>
      <c r="AW37" s="19">
        <f>VLOOKUP(AU37,'Hazard Weighting Functions'!$B$5:$G$1205,3,FALSE)</f>
        <v>0.01</v>
      </c>
      <c r="AX37">
        <f t="shared" si="25"/>
        <v>239.57738964622922</v>
      </c>
      <c r="AY37" s="19">
        <f t="shared" si="26"/>
        <v>493.0872709537914</v>
      </c>
      <c r="AZ37" s="20">
        <f t="shared" si="2"/>
        <v>316</v>
      </c>
      <c r="BA37" s="20">
        <f t="shared" si="3"/>
        <v>23957.738959999999</v>
      </c>
      <c r="BB37" s="19">
        <f>VLOOKUP(AZ37,'Hazard Weighting Functions'!$B$5:$G$1205,3,FALSE)</f>
        <v>0.01</v>
      </c>
      <c r="BC37">
        <f t="shared" si="27"/>
        <v>239.5773896</v>
      </c>
      <c r="BD37" s="19">
        <f t="shared" si="28"/>
        <v>493.08727090000002</v>
      </c>
      <c r="BF37" s="20">
        <f t="shared" ref="BF37:BG37" si="44">H127</f>
        <v>396</v>
      </c>
      <c r="BG37" s="20">
        <f t="shared" si="44"/>
        <v>17.294542823528626</v>
      </c>
      <c r="BH37" s="19">
        <f>VLOOKUP(BF37,'Hazard Weighting Functions'!$B$5:$G$1205,4,FALSE)</f>
        <v>0.57434917699999999</v>
      </c>
      <c r="BI37" s="19">
        <f t="shared" si="30"/>
        <v>9.9331064372849234</v>
      </c>
      <c r="BJ37" s="19">
        <f t="shared" si="31"/>
        <v>23.459330192260094</v>
      </c>
      <c r="BK37" s="1">
        <f t="shared" si="7"/>
        <v>316</v>
      </c>
      <c r="BL37" s="20">
        <f t="shared" si="8"/>
        <v>23957.73896462292</v>
      </c>
      <c r="BM37">
        <f>VLOOKUP(BK37,'Hazard Weighting Functions'!$B$5:$G$1205,4,FALSE)</f>
        <v>0</v>
      </c>
      <c r="BN37">
        <f t="shared" si="32"/>
        <v>0</v>
      </c>
      <c r="BO37" s="19">
        <f t="shared" si="33"/>
        <v>0</v>
      </c>
      <c r="BP37" s="20">
        <f t="shared" si="9"/>
        <v>316</v>
      </c>
      <c r="BQ37" s="20">
        <f t="shared" si="10"/>
        <v>23957.738959999999</v>
      </c>
      <c r="BR37" s="19">
        <f>VLOOKUP(BP37,'Hazard Weighting Functions'!$B$5:$G$1205,4,FALSE)</f>
        <v>0</v>
      </c>
      <c r="BS37" s="19">
        <f t="shared" si="34"/>
        <v>0</v>
      </c>
      <c r="BT37" s="19">
        <f t="shared" si="35"/>
        <v>0</v>
      </c>
      <c r="BV37">
        <f>VLOOKUP(BK37,'Hazard Weighting Functions'!$B$5:$G$1205,5,FALSE)</f>
        <v>0</v>
      </c>
      <c r="BW37" s="24">
        <f t="shared" si="36"/>
        <v>0</v>
      </c>
      <c r="BX37" s="24">
        <f t="shared" si="37"/>
        <v>0</v>
      </c>
    </row>
    <row r="38" spans="2:76">
      <c r="B38">
        <v>218</v>
      </c>
      <c r="C38" s="36">
        <v>2.1498050682824423E-2</v>
      </c>
      <c r="E38">
        <v>218</v>
      </c>
      <c r="F38" s="36">
        <v>2.1498050682824423E-2</v>
      </c>
      <c r="H38" s="19">
        <v>218</v>
      </c>
      <c r="I38" s="36">
        <v>2.1498050682824423E-2</v>
      </c>
      <c r="K38">
        <v>1045</v>
      </c>
      <c r="L38" s="36">
        <v>1727.4833150228148</v>
      </c>
      <c r="N38">
        <v>318</v>
      </c>
      <c r="O38" s="36">
        <v>25350.988130756221</v>
      </c>
      <c r="Q38" s="19">
        <v>318</v>
      </c>
      <c r="R38" s="36">
        <v>25350.988130000002</v>
      </c>
      <c r="T38">
        <f>L38/C258</f>
        <v>12.560500498228171</v>
      </c>
      <c r="V38">
        <f t="shared" si="12"/>
        <v>218</v>
      </c>
      <c r="W38">
        <f t="shared" si="13"/>
        <v>2.1498050682824423E-2</v>
      </c>
      <c r="Y38">
        <f t="shared" si="14"/>
        <v>218</v>
      </c>
      <c r="Z38">
        <f t="shared" si="15"/>
        <v>2.1498050682824423E-2</v>
      </c>
      <c r="AA38">
        <f>VLOOKUP(Y38,'Hazard Weighting Functions'!$B$5:$G$1205,2,FALSE)</f>
        <v>0.10929999999999999</v>
      </c>
      <c r="AB38">
        <f t="shared" si="16"/>
        <v>2.3497369396327092E-3</v>
      </c>
      <c r="AC38">
        <f t="shared" si="17"/>
        <v>5.4241129396327093E-3</v>
      </c>
      <c r="AE38">
        <f>VLOOKUP(Y38,'Hazard Weighting Functions'!$B$5:$G$1205,3,FALSE)</f>
        <v>0</v>
      </c>
      <c r="AF38">
        <f t="shared" si="18"/>
        <v>0</v>
      </c>
      <c r="AG38">
        <f t="shared" si="19"/>
        <v>0</v>
      </c>
      <c r="AH38">
        <f>VLOOKUP(Y38,'Hazard Weighting Functions'!$B$5:$G$1205,5,FALSE)</f>
        <v>0</v>
      </c>
      <c r="AI38">
        <f t="shared" si="20"/>
        <v>0</v>
      </c>
      <c r="AJ38">
        <f t="shared" si="21"/>
        <v>0</v>
      </c>
      <c r="AP38" s="20">
        <f>'IEC_EN62471- Halogen non-GLS'!E88</f>
        <v>318</v>
      </c>
      <c r="AQ38" s="20">
        <f t="shared" si="22"/>
        <v>3.1688735163445281</v>
      </c>
      <c r="AR38">
        <f>VLOOKUP(AP38,'Hazard Weighting Functions'!$B$5:$G$1205,3,FALSE)</f>
        <v>0.01</v>
      </c>
      <c r="AS38">
        <f t="shared" si="23"/>
        <v>3.1688735163445281E-2</v>
      </c>
      <c r="AT38">
        <f t="shared" si="24"/>
        <v>6.5168635163445288E-2</v>
      </c>
      <c r="AU38" s="20">
        <f t="shared" si="11"/>
        <v>318</v>
      </c>
      <c r="AV38">
        <f>O38</f>
        <v>25350.988130756221</v>
      </c>
      <c r="AW38" s="19">
        <f>VLOOKUP(AU38,'Hazard Weighting Functions'!$B$5:$G$1205,3,FALSE)</f>
        <v>0.01</v>
      </c>
      <c r="AX38">
        <f t="shared" si="25"/>
        <v>253.50988130756221</v>
      </c>
      <c r="AY38" s="19">
        <f t="shared" si="26"/>
        <v>521.34908130756219</v>
      </c>
      <c r="AZ38" s="20">
        <f t="shared" si="2"/>
        <v>318</v>
      </c>
      <c r="BA38" s="20">
        <f t="shared" si="3"/>
        <v>25350.988130000002</v>
      </c>
      <c r="BB38" s="19">
        <f>VLOOKUP(AZ38,'Hazard Weighting Functions'!$B$5:$G$1205,3,FALSE)</f>
        <v>0.01</v>
      </c>
      <c r="BC38">
        <f t="shared" si="27"/>
        <v>253.50988130000002</v>
      </c>
      <c r="BD38" s="19">
        <f t="shared" si="28"/>
        <v>521.34908130000008</v>
      </c>
      <c r="BF38" s="20">
        <f t="shared" ref="BF38:BG38" si="45">H128</f>
        <v>398</v>
      </c>
      <c r="BG38" s="20">
        <f t="shared" si="45"/>
        <v>17.847959253584051</v>
      </c>
      <c r="BH38" s="19">
        <f>VLOOKUP(BF38,'Hazard Weighting Functions'!$B$5:$G$1205,4,FALSE)</f>
        <v>0.75785828300000002</v>
      </c>
      <c r="BI38" s="19">
        <f t="shared" si="30"/>
        <v>13.52622375497517</v>
      </c>
      <c r="BJ38" s="19">
        <f t="shared" si="31"/>
        <v>31.938323754975173</v>
      </c>
      <c r="BK38" s="1">
        <f t="shared" si="7"/>
        <v>318</v>
      </c>
      <c r="BL38" s="20">
        <f t="shared" si="8"/>
        <v>25350.988130756221</v>
      </c>
      <c r="BM38">
        <f>VLOOKUP(BK38,'Hazard Weighting Functions'!$B$5:$G$1205,4,FALSE)</f>
        <v>0</v>
      </c>
      <c r="BN38">
        <f t="shared" si="32"/>
        <v>0</v>
      </c>
      <c r="BO38" s="19">
        <f t="shared" si="33"/>
        <v>0</v>
      </c>
      <c r="BP38" s="20">
        <f t="shared" si="9"/>
        <v>318</v>
      </c>
      <c r="BQ38" s="20">
        <f t="shared" si="10"/>
        <v>25350.988130000002</v>
      </c>
      <c r="BR38" s="19">
        <f>VLOOKUP(BP38,'Hazard Weighting Functions'!$B$5:$G$1205,4,FALSE)</f>
        <v>0</v>
      </c>
      <c r="BS38" s="19">
        <f t="shared" si="34"/>
        <v>0</v>
      </c>
      <c r="BT38" s="19">
        <f t="shared" si="35"/>
        <v>0</v>
      </c>
      <c r="BV38">
        <f>VLOOKUP(BK38,'Hazard Weighting Functions'!$B$5:$G$1205,5,FALSE)</f>
        <v>0</v>
      </c>
      <c r="BW38" s="24">
        <f t="shared" si="36"/>
        <v>0</v>
      </c>
      <c r="BX38" s="24">
        <f t="shared" si="37"/>
        <v>0</v>
      </c>
    </row>
    <row r="39" spans="2:76">
      <c r="B39">
        <v>220</v>
      </c>
      <c r="C39" s="36">
        <v>2.5619800000000002E-2</v>
      </c>
      <c r="E39">
        <v>220</v>
      </c>
      <c r="F39" s="36">
        <v>2.5619800000000002E-2</v>
      </c>
      <c r="H39" s="19">
        <v>220</v>
      </c>
      <c r="I39" s="36">
        <v>2.5619800000000002E-2</v>
      </c>
      <c r="K39">
        <v>1050</v>
      </c>
      <c r="L39" s="36">
        <v>1719.9511235882039</v>
      </c>
      <c r="N39">
        <v>320</v>
      </c>
      <c r="O39" s="36">
        <v>26783.919999999995</v>
      </c>
      <c r="Q39" s="19">
        <v>320</v>
      </c>
      <c r="R39" s="36">
        <v>26783.919999999998</v>
      </c>
      <c r="T39">
        <f>L39/C259</f>
        <v>12.562365323878694</v>
      </c>
      <c r="V39">
        <f t="shared" si="12"/>
        <v>220</v>
      </c>
      <c r="W39">
        <f t="shared" si="13"/>
        <v>2.5619800000000002E-2</v>
      </c>
      <c r="Y39">
        <f t="shared" si="14"/>
        <v>220</v>
      </c>
      <c r="Z39">
        <f t="shared" si="15"/>
        <v>2.5619800000000002E-2</v>
      </c>
      <c r="AA39">
        <f>VLOOKUP(Y39,'Hazard Weighting Functions'!$B$5:$G$1205,2,FALSE)</f>
        <v>0.12</v>
      </c>
      <c r="AB39">
        <f t="shared" si="16"/>
        <v>3.0743760000000002E-3</v>
      </c>
      <c r="AC39">
        <f t="shared" si="17"/>
        <v>6.9961945729555318E-3</v>
      </c>
      <c r="AE39">
        <f>VLOOKUP(Y39,'Hazard Weighting Functions'!$B$5:$G$1205,3,FALSE)</f>
        <v>0</v>
      </c>
      <c r="AF39">
        <f t="shared" si="18"/>
        <v>0</v>
      </c>
      <c r="AG39">
        <f t="shared" si="19"/>
        <v>0</v>
      </c>
      <c r="AH39">
        <f>VLOOKUP(Y39,'Hazard Weighting Functions'!$B$5:$G$1205,5,FALSE)</f>
        <v>0</v>
      </c>
      <c r="AI39">
        <f t="shared" si="20"/>
        <v>0</v>
      </c>
      <c r="AJ39">
        <f t="shared" si="21"/>
        <v>0</v>
      </c>
      <c r="AP39" s="20">
        <f>'IEC_EN62471- Halogen non-GLS'!E89</f>
        <v>320</v>
      </c>
      <c r="AQ39" s="20">
        <f t="shared" si="22"/>
        <v>3.3479899999999998</v>
      </c>
      <c r="AR39">
        <f>VLOOKUP(AP39,'Hazard Weighting Functions'!$B$5:$G$1205,3,FALSE)</f>
        <v>0.01</v>
      </c>
      <c r="AS39">
        <f t="shared" si="23"/>
        <v>3.34799E-2</v>
      </c>
      <c r="AT39">
        <f t="shared" si="24"/>
        <v>6.8830507812422032E-2</v>
      </c>
      <c r="AU39" s="20">
        <f t="shared" si="11"/>
        <v>320</v>
      </c>
      <c r="AV39">
        <f>O39</f>
        <v>26783.919999999995</v>
      </c>
      <c r="AW39" s="19">
        <f>VLOOKUP(AU39,'Hazard Weighting Functions'!$B$5:$G$1205,3,FALSE)</f>
        <v>0.01</v>
      </c>
      <c r="AX39">
        <f t="shared" si="25"/>
        <v>267.83919999999995</v>
      </c>
      <c r="AY39" s="19">
        <f t="shared" si="26"/>
        <v>550.6440624993761</v>
      </c>
      <c r="AZ39" s="20">
        <f t="shared" si="2"/>
        <v>320</v>
      </c>
      <c r="BA39" s="20">
        <f t="shared" si="3"/>
        <v>26783.919999999998</v>
      </c>
      <c r="BB39" s="19">
        <f>VLOOKUP(AZ39,'Hazard Weighting Functions'!$B$5:$G$1205,3,FALSE)</f>
        <v>0.01</v>
      </c>
      <c r="BC39">
        <f t="shared" si="27"/>
        <v>267.83920000000001</v>
      </c>
      <c r="BD39" s="19">
        <f t="shared" si="28"/>
        <v>550.64406250000002</v>
      </c>
      <c r="BF39" s="20">
        <f t="shared" ref="BF39:BG39" si="46">H129</f>
        <v>400</v>
      </c>
      <c r="BG39" s="20">
        <f t="shared" si="46"/>
        <v>18.412100000000002</v>
      </c>
      <c r="BH39" s="19">
        <f>VLOOKUP(BF39,'Hazard Weighting Functions'!$B$5:$G$1205,4,FALSE)</f>
        <v>1</v>
      </c>
      <c r="BI39" s="19">
        <f t="shared" si="30"/>
        <v>18.412100000000002</v>
      </c>
      <c r="BJ39" s="19">
        <f t="shared" si="31"/>
        <v>145.39525</v>
      </c>
      <c r="BK39" s="1">
        <f t="shared" si="7"/>
        <v>320</v>
      </c>
      <c r="BL39" s="20">
        <f t="shared" si="8"/>
        <v>26783.919999999995</v>
      </c>
      <c r="BM39">
        <f>VLOOKUP(BK39,'Hazard Weighting Functions'!$B$5:$G$1205,4,FALSE)</f>
        <v>0</v>
      </c>
      <c r="BN39">
        <f t="shared" si="32"/>
        <v>0</v>
      </c>
      <c r="BO39" s="19">
        <f t="shared" si="33"/>
        <v>0</v>
      </c>
      <c r="BP39" s="20">
        <f t="shared" si="9"/>
        <v>320</v>
      </c>
      <c r="BQ39" s="20">
        <f t="shared" si="10"/>
        <v>26783.919999999998</v>
      </c>
      <c r="BR39" s="19">
        <f>VLOOKUP(BP39,'Hazard Weighting Functions'!$B$5:$G$1205,4,FALSE)</f>
        <v>0</v>
      </c>
      <c r="BS39" s="19">
        <f t="shared" si="34"/>
        <v>0</v>
      </c>
      <c r="BT39" s="19">
        <f t="shared" si="35"/>
        <v>0</v>
      </c>
      <c r="BV39">
        <f>VLOOKUP(BK39,'Hazard Weighting Functions'!$B$5:$G$1205,5,FALSE)</f>
        <v>0</v>
      </c>
      <c r="BW39" s="24">
        <f t="shared" si="36"/>
        <v>0</v>
      </c>
      <c r="BX39" s="24">
        <f t="shared" si="37"/>
        <v>0</v>
      </c>
    </row>
    <row r="40" spans="2:76">
      <c r="B40">
        <v>222</v>
      </c>
      <c r="C40" s="36">
        <v>2.9801052985984282E-2</v>
      </c>
      <c r="E40">
        <v>222</v>
      </c>
      <c r="F40" s="36">
        <v>2.9801052985984282E-2</v>
      </c>
      <c r="H40" s="19">
        <v>222</v>
      </c>
      <c r="I40" s="36">
        <v>2.9801052985984282E-2</v>
      </c>
      <c r="K40">
        <v>1055</v>
      </c>
      <c r="L40" s="36">
        <v>1711.5704922397599</v>
      </c>
      <c r="N40">
        <v>322</v>
      </c>
      <c r="O40" s="36">
        <v>28280.486249937621</v>
      </c>
      <c r="Q40" s="19">
        <v>322</v>
      </c>
      <c r="R40" s="36">
        <v>28280.486250000002</v>
      </c>
      <c r="T40">
        <f>L40/C260</f>
        <v>12.558759160874343</v>
      </c>
      <c r="V40">
        <f t="shared" si="12"/>
        <v>222</v>
      </c>
      <c r="W40">
        <f t="shared" si="13"/>
        <v>2.9801052985984282E-2</v>
      </c>
      <c r="Y40">
        <f t="shared" si="14"/>
        <v>222</v>
      </c>
      <c r="Z40">
        <f t="shared" si="15"/>
        <v>2.9801052985984282E-2</v>
      </c>
      <c r="AA40">
        <f>VLOOKUP(Y40,'Hazard Weighting Functions'!$B$5:$G$1205,2,FALSE)</f>
        <v>0.13159999999999999</v>
      </c>
      <c r="AB40">
        <f t="shared" si="16"/>
        <v>3.9218185729555316E-3</v>
      </c>
      <c r="AC40">
        <f t="shared" si="17"/>
        <v>8.9185827043293531E-3</v>
      </c>
      <c r="AE40">
        <f>VLOOKUP(Y40,'Hazard Weighting Functions'!$B$5:$G$1205,3,FALSE)</f>
        <v>0</v>
      </c>
      <c r="AF40">
        <f t="shared" si="18"/>
        <v>0</v>
      </c>
      <c r="AG40">
        <f t="shared" si="19"/>
        <v>0</v>
      </c>
      <c r="AH40">
        <f>VLOOKUP(Y40,'Hazard Weighting Functions'!$B$5:$G$1205,5,FALSE)</f>
        <v>0</v>
      </c>
      <c r="AI40">
        <f t="shared" si="20"/>
        <v>0</v>
      </c>
      <c r="AJ40">
        <f t="shared" si="21"/>
        <v>0</v>
      </c>
      <c r="AP40" s="20">
        <f>'IEC_EN62471- Halogen non-GLS'!E90</f>
        <v>322</v>
      </c>
      <c r="AQ40" s="20">
        <f t="shared" si="22"/>
        <v>3.535060781242203</v>
      </c>
      <c r="AR40">
        <f>VLOOKUP(AP40,'Hazard Weighting Functions'!$B$5:$G$1205,3,FALSE)</f>
        <v>0.01</v>
      </c>
      <c r="AS40">
        <f t="shared" si="23"/>
        <v>3.5350607812422032E-2</v>
      </c>
      <c r="AT40">
        <f t="shared" si="24"/>
        <v>7.2646358074466469E-2</v>
      </c>
      <c r="AU40" s="20">
        <f t="shared" si="11"/>
        <v>322</v>
      </c>
      <c r="AV40">
        <f>O40</f>
        <v>28280.486249937621</v>
      </c>
      <c r="AW40" s="19">
        <f>VLOOKUP(AU40,'Hazard Weighting Functions'!$B$5:$G$1205,3,FALSE)</f>
        <v>0.01</v>
      </c>
      <c r="AX40">
        <f t="shared" si="25"/>
        <v>282.80486249937621</v>
      </c>
      <c r="AY40" s="19">
        <f t="shared" si="26"/>
        <v>581.1708645957317</v>
      </c>
      <c r="AZ40" s="20">
        <f t="shared" si="2"/>
        <v>322</v>
      </c>
      <c r="BA40" s="20">
        <f t="shared" si="3"/>
        <v>28280.486250000002</v>
      </c>
      <c r="BB40" s="19">
        <f>VLOOKUP(AZ40,'Hazard Weighting Functions'!$B$5:$G$1205,3,FALSE)</f>
        <v>0.01</v>
      </c>
      <c r="BC40">
        <f t="shared" si="27"/>
        <v>282.80486250000001</v>
      </c>
      <c r="BD40" s="19">
        <f t="shared" si="28"/>
        <v>581.17086459999996</v>
      </c>
      <c r="BF40" s="20">
        <f t="shared" ref="BF40:BG40" si="47">H130</f>
        <v>405</v>
      </c>
      <c r="BG40" s="20">
        <f t="shared" si="47"/>
        <v>19.873000000000001</v>
      </c>
      <c r="BH40" s="19">
        <f>VLOOKUP(BF40,'Hazard Weighting Functions'!$B$5:$G$1205,4,FALSE)</f>
        <v>2</v>
      </c>
      <c r="BI40" s="19">
        <f t="shared" si="30"/>
        <v>39.746000000000002</v>
      </c>
      <c r="BJ40" s="19">
        <f t="shared" si="31"/>
        <v>312.98499999999996</v>
      </c>
      <c r="BK40" s="1">
        <f t="shared" si="7"/>
        <v>322</v>
      </c>
      <c r="BL40" s="20">
        <f t="shared" si="8"/>
        <v>28280.486249937621</v>
      </c>
      <c r="BM40">
        <f>VLOOKUP(BK40,'Hazard Weighting Functions'!$B$5:$G$1205,4,FALSE)</f>
        <v>0</v>
      </c>
      <c r="BN40">
        <f t="shared" si="32"/>
        <v>0</v>
      </c>
      <c r="BO40" s="19">
        <f t="shared" si="33"/>
        <v>0</v>
      </c>
      <c r="BP40" s="20">
        <f t="shared" si="9"/>
        <v>322</v>
      </c>
      <c r="BQ40" s="20">
        <f t="shared" si="10"/>
        <v>28280.486250000002</v>
      </c>
      <c r="BR40" s="19">
        <f>VLOOKUP(BP40,'Hazard Weighting Functions'!$B$5:$G$1205,4,FALSE)</f>
        <v>0</v>
      </c>
      <c r="BS40" s="19">
        <f t="shared" si="34"/>
        <v>0</v>
      </c>
      <c r="BT40" s="19">
        <f t="shared" si="35"/>
        <v>0</v>
      </c>
      <c r="BV40">
        <f>VLOOKUP(BK40,'Hazard Weighting Functions'!$B$5:$G$1205,5,FALSE)</f>
        <v>0</v>
      </c>
      <c r="BW40" s="24">
        <f t="shared" si="36"/>
        <v>0</v>
      </c>
      <c r="BX40" s="24">
        <f t="shared" si="37"/>
        <v>0</v>
      </c>
    </row>
    <row r="41" spans="2:76">
      <c r="B41">
        <v>224</v>
      </c>
      <c r="C41" s="36">
        <v>3.4603629718655264E-2</v>
      </c>
      <c r="E41">
        <v>224</v>
      </c>
      <c r="F41" s="36">
        <v>3.4603629718655264E-2</v>
      </c>
      <c r="H41" s="19">
        <v>224</v>
      </c>
      <c r="I41" s="36">
        <v>3.4603629718655264E-2</v>
      </c>
      <c r="K41">
        <v>1060</v>
      </c>
      <c r="L41" s="36">
        <v>1703.57305879914</v>
      </c>
      <c r="N41">
        <v>324</v>
      </c>
      <c r="O41" s="36">
        <v>29836.600209635551</v>
      </c>
      <c r="Q41" s="19">
        <v>324</v>
      </c>
      <c r="R41" s="36">
        <v>29836.600210000001</v>
      </c>
      <c r="T41">
        <f>L41/C261</f>
        <v>12.558777562508403</v>
      </c>
      <c r="V41">
        <f t="shared" si="12"/>
        <v>224</v>
      </c>
      <c r="W41">
        <f t="shared" si="13"/>
        <v>3.4603629718655264E-2</v>
      </c>
      <c r="Y41">
        <f t="shared" si="14"/>
        <v>224</v>
      </c>
      <c r="Z41">
        <f t="shared" si="15"/>
        <v>3.4603629718655264E-2</v>
      </c>
      <c r="AA41">
        <f>VLOOKUP(Y41,'Hazard Weighting Functions'!$B$5:$G$1205,2,FALSE)</f>
        <v>0.1444</v>
      </c>
      <c r="AB41">
        <f t="shared" si="16"/>
        <v>4.9967641313738206E-3</v>
      </c>
      <c r="AC41">
        <f t="shared" si="17"/>
        <v>1.1446774679194738E-2</v>
      </c>
      <c r="AE41">
        <f>VLOOKUP(Y41,'Hazard Weighting Functions'!$B$5:$G$1205,3,FALSE)</f>
        <v>0</v>
      </c>
      <c r="AF41">
        <f t="shared" si="18"/>
        <v>0</v>
      </c>
      <c r="AG41">
        <f t="shared" si="19"/>
        <v>0</v>
      </c>
      <c r="AH41">
        <f>VLOOKUP(Y41,'Hazard Weighting Functions'!$B$5:$G$1205,5,FALSE)</f>
        <v>0</v>
      </c>
      <c r="AI41">
        <f t="shared" si="20"/>
        <v>0</v>
      </c>
      <c r="AJ41">
        <f t="shared" si="21"/>
        <v>0</v>
      </c>
      <c r="AP41" s="20">
        <f>'IEC_EN62471- Halogen non-GLS'!E91</f>
        <v>324</v>
      </c>
      <c r="AQ41" s="20">
        <f t="shared" si="22"/>
        <v>3.7295750262044436</v>
      </c>
      <c r="AR41">
        <f>VLOOKUP(AP41,'Hazard Weighting Functions'!$B$5:$G$1205,3,FALSE)</f>
        <v>0.01</v>
      </c>
      <c r="AS41">
        <f t="shared" si="23"/>
        <v>3.7295750262044437E-2</v>
      </c>
      <c r="AT41">
        <f t="shared" si="24"/>
        <v>7.6598397830666534E-2</v>
      </c>
      <c r="AU41" s="20">
        <f t="shared" si="11"/>
        <v>324</v>
      </c>
      <c r="AV41">
        <f>O41</f>
        <v>29836.600209635551</v>
      </c>
      <c r="AW41" s="19">
        <f>VLOOKUP(AU41,'Hazard Weighting Functions'!$B$5:$G$1205,3,FALSE)</f>
        <v>0.01</v>
      </c>
      <c r="AX41">
        <f t="shared" si="25"/>
        <v>298.36600209635554</v>
      </c>
      <c r="AY41" s="19">
        <f t="shared" si="26"/>
        <v>612.78718264533234</v>
      </c>
      <c r="AZ41" s="20">
        <f t="shared" si="2"/>
        <v>324</v>
      </c>
      <c r="BA41" s="20">
        <f t="shared" si="3"/>
        <v>29836.600210000001</v>
      </c>
      <c r="BB41" s="19">
        <f>VLOOKUP(AZ41,'Hazard Weighting Functions'!$B$5:$G$1205,3,FALSE)</f>
        <v>0.01</v>
      </c>
      <c r="BC41">
        <f t="shared" si="27"/>
        <v>298.3660021</v>
      </c>
      <c r="BD41" s="19">
        <f t="shared" si="28"/>
        <v>612.78718260000005</v>
      </c>
      <c r="BF41" s="20">
        <f t="shared" ref="BF41:BG41" si="48">H131</f>
        <v>410</v>
      </c>
      <c r="BG41" s="20">
        <f t="shared" si="48"/>
        <v>21.361999999999998</v>
      </c>
      <c r="BH41" s="19">
        <f>VLOOKUP(BF41,'Hazard Weighting Functions'!$B$5:$G$1205,4,FALSE)</f>
        <v>4</v>
      </c>
      <c r="BI41" s="19">
        <f t="shared" si="30"/>
        <v>85.447999999999993</v>
      </c>
      <c r="BJ41" s="19">
        <f t="shared" si="31"/>
        <v>673.45600000000002</v>
      </c>
      <c r="BK41" s="1">
        <f t="shared" si="7"/>
        <v>324</v>
      </c>
      <c r="BL41" s="20">
        <f t="shared" si="8"/>
        <v>29836.600209635551</v>
      </c>
      <c r="BM41">
        <f>VLOOKUP(BK41,'Hazard Weighting Functions'!$B$5:$G$1205,4,FALSE)</f>
        <v>0</v>
      </c>
      <c r="BN41">
        <f t="shared" si="32"/>
        <v>0</v>
      </c>
      <c r="BO41" s="19">
        <f t="shared" si="33"/>
        <v>0</v>
      </c>
      <c r="BP41" s="20">
        <f t="shared" si="9"/>
        <v>324</v>
      </c>
      <c r="BQ41" s="20">
        <f t="shared" si="10"/>
        <v>29836.600210000001</v>
      </c>
      <c r="BR41" s="19">
        <f>VLOOKUP(BP41,'Hazard Weighting Functions'!$B$5:$G$1205,4,FALSE)</f>
        <v>0</v>
      </c>
      <c r="BS41" s="19">
        <f t="shared" si="34"/>
        <v>0</v>
      </c>
      <c r="BT41" s="19">
        <f t="shared" si="35"/>
        <v>0</v>
      </c>
      <c r="BV41">
        <f>VLOOKUP(BK41,'Hazard Weighting Functions'!$B$5:$G$1205,5,FALSE)</f>
        <v>0</v>
      </c>
      <c r="BW41" s="24">
        <f t="shared" si="36"/>
        <v>0</v>
      </c>
      <c r="BX41" s="24">
        <f t="shared" si="37"/>
        <v>0</v>
      </c>
    </row>
    <row r="42" spans="2:76">
      <c r="B42">
        <v>226</v>
      </c>
      <c r="C42" s="36">
        <v>4.0745486720283747E-2</v>
      </c>
      <c r="E42">
        <v>226</v>
      </c>
      <c r="F42" s="36">
        <v>4.0745486720283747E-2</v>
      </c>
      <c r="H42" s="19">
        <v>226</v>
      </c>
      <c r="I42" s="36">
        <v>4.0745486720283747E-2</v>
      </c>
      <c r="K42">
        <v>1065</v>
      </c>
      <c r="L42" s="36">
        <v>1696.2788526696793</v>
      </c>
      <c r="N42">
        <v>326</v>
      </c>
      <c r="O42" s="36">
        <v>31442.118054897677</v>
      </c>
      <c r="Q42" s="19">
        <v>326</v>
      </c>
      <c r="R42" s="36">
        <v>31442.118050000001</v>
      </c>
      <c r="T42">
        <f>L42/C262</f>
        <v>12.56474932164233</v>
      </c>
      <c r="V42">
        <f t="shared" si="12"/>
        <v>226</v>
      </c>
      <c r="W42">
        <f t="shared" si="13"/>
        <v>4.0745486720283747E-2</v>
      </c>
      <c r="Y42">
        <f t="shared" si="14"/>
        <v>226</v>
      </c>
      <c r="Z42">
        <f t="shared" si="15"/>
        <v>4.0745486720283747E-2</v>
      </c>
      <c r="AA42">
        <f>VLOOKUP(Y42,'Hazard Weighting Functions'!$B$5:$G$1205,2,FALSE)</f>
        <v>0.1583</v>
      </c>
      <c r="AB42">
        <f t="shared" si="16"/>
        <v>6.450010547820917E-3</v>
      </c>
      <c r="AC42">
        <f t="shared" si="17"/>
        <v>1.4822254489852117E-2</v>
      </c>
      <c r="AE42">
        <f>VLOOKUP(Y42,'Hazard Weighting Functions'!$B$5:$G$1205,3,FALSE)</f>
        <v>0</v>
      </c>
      <c r="AF42">
        <f t="shared" si="18"/>
        <v>0</v>
      </c>
      <c r="AG42">
        <f t="shared" si="19"/>
        <v>0</v>
      </c>
      <c r="AH42">
        <f>VLOOKUP(Y42,'Hazard Weighting Functions'!$B$5:$G$1205,5,FALSE)</f>
        <v>0</v>
      </c>
      <c r="AI42">
        <f t="shared" si="20"/>
        <v>0</v>
      </c>
      <c r="AJ42">
        <f t="shared" si="21"/>
        <v>0</v>
      </c>
      <c r="AP42" s="20">
        <f>'IEC_EN62471- Halogen non-GLS'!E92</f>
        <v>326</v>
      </c>
      <c r="AQ42" s="20">
        <f t="shared" si="22"/>
        <v>3.9302647568622096</v>
      </c>
      <c r="AR42">
        <f>VLOOKUP(AP42,'Hazard Weighting Functions'!$B$5:$G$1205,3,FALSE)</f>
        <v>0.01</v>
      </c>
      <c r="AS42">
        <f t="shared" si="23"/>
        <v>3.9302647568622097E-2</v>
      </c>
      <c r="AT42">
        <f t="shared" si="24"/>
        <v>8.0688649994199446E-2</v>
      </c>
      <c r="AU42" s="20">
        <f t="shared" si="11"/>
        <v>326</v>
      </c>
      <c r="AV42">
        <f>O42</f>
        <v>31442.118054897677</v>
      </c>
      <c r="AW42" s="19">
        <f>VLOOKUP(AU42,'Hazard Weighting Functions'!$B$5:$G$1205,3,FALSE)</f>
        <v>0.01</v>
      </c>
      <c r="AX42">
        <f t="shared" si="25"/>
        <v>314.42118054897679</v>
      </c>
      <c r="AY42" s="19">
        <f t="shared" si="26"/>
        <v>645.5091999535955</v>
      </c>
      <c r="AZ42" s="20">
        <f t="shared" si="2"/>
        <v>326</v>
      </c>
      <c r="BA42" s="20">
        <f t="shared" si="3"/>
        <v>31442.118050000001</v>
      </c>
      <c r="BB42" s="19">
        <f>VLOOKUP(AZ42,'Hazard Weighting Functions'!$B$5:$G$1205,3,FALSE)</f>
        <v>0.01</v>
      </c>
      <c r="BC42">
        <f t="shared" si="27"/>
        <v>314.42118049999999</v>
      </c>
      <c r="BD42" s="19">
        <f t="shared" si="28"/>
        <v>645.5091999</v>
      </c>
      <c r="BF42" s="20">
        <f t="shared" ref="BF42:BG42" si="49">H132</f>
        <v>415</v>
      </c>
      <c r="BG42" s="20">
        <f t="shared" si="49"/>
        <v>22.991800000000005</v>
      </c>
      <c r="BH42" s="19">
        <f>VLOOKUP(BF42,'Hazard Weighting Functions'!$B$5:$G$1205,4,FALSE)</f>
        <v>8</v>
      </c>
      <c r="BI42" s="19">
        <f t="shared" si="30"/>
        <v>183.93440000000004</v>
      </c>
      <c r="BJ42" s="19">
        <f t="shared" si="31"/>
        <v>1012.9737500000001</v>
      </c>
      <c r="BK42" s="1">
        <f t="shared" si="7"/>
        <v>326</v>
      </c>
      <c r="BL42" s="20">
        <f t="shared" si="8"/>
        <v>31442.118054897677</v>
      </c>
      <c r="BM42">
        <f>VLOOKUP(BK42,'Hazard Weighting Functions'!$B$5:$G$1205,4,FALSE)</f>
        <v>0</v>
      </c>
      <c r="BN42">
        <f t="shared" si="32"/>
        <v>0</v>
      </c>
      <c r="BO42" s="19">
        <f t="shared" si="33"/>
        <v>0</v>
      </c>
      <c r="BP42" s="20">
        <f t="shared" si="9"/>
        <v>326</v>
      </c>
      <c r="BQ42" s="20">
        <f t="shared" si="10"/>
        <v>31442.118050000001</v>
      </c>
      <c r="BR42" s="19">
        <f>VLOOKUP(BP42,'Hazard Weighting Functions'!$B$5:$G$1205,4,FALSE)</f>
        <v>0</v>
      </c>
      <c r="BS42" s="19">
        <f t="shared" si="34"/>
        <v>0</v>
      </c>
      <c r="BT42" s="19">
        <f t="shared" si="35"/>
        <v>0</v>
      </c>
      <c r="BV42">
        <f>VLOOKUP(BK42,'Hazard Weighting Functions'!$B$5:$G$1205,5,FALSE)</f>
        <v>0</v>
      </c>
      <c r="BW42" s="24">
        <f t="shared" si="36"/>
        <v>0</v>
      </c>
      <c r="BX42" s="24">
        <f t="shared" si="37"/>
        <v>0</v>
      </c>
    </row>
    <row r="43" spans="2:76">
      <c r="B43">
        <v>228</v>
      </c>
      <c r="C43" s="36">
        <v>4.8199446989241231E-2</v>
      </c>
      <c r="E43">
        <v>228</v>
      </c>
      <c r="F43" s="36">
        <v>4.8199446989241231E-2</v>
      </c>
      <c r="H43" s="19">
        <v>228</v>
      </c>
      <c r="I43" s="36">
        <v>4.8199446989241231E-2</v>
      </c>
      <c r="K43">
        <v>1070</v>
      </c>
      <c r="L43" s="36">
        <v>1688.6381783761956</v>
      </c>
      <c r="N43">
        <v>328</v>
      </c>
      <c r="O43" s="36">
        <v>33108.801940461875</v>
      </c>
      <c r="Q43" s="19">
        <v>328</v>
      </c>
      <c r="R43" s="36">
        <v>33108.801939999998</v>
      </c>
      <c r="T43">
        <f>L43/C263</f>
        <v>12.568854555427169</v>
      </c>
      <c r="V43">
        <f t="shared" si="12"/>
        <v>228</v>
      </c>
      <c r="W43">
        <f t="shared" si="13"/>
        <v>4.8199446989241231E-2</v>
      </c>
      <c r="Y43">
        <f t="shared" si="14"/>
        <v>228</v>
      </c>
      <c r="Z43">
        <f t="shared" si="15"/>
        <v>4.8199446989241231E-2</v>
      </c>
      <c r="AA43">
        <f>VLOOKUP(Y43,'Hazard Weighting Functions'!$B$5:$G$1205,2,FALSE)</f>
        <v>0.17369999999999999</v>
      </c>
      <c r="AB43">
        <f t="shared" si="16"/>
        <v>8.372243942031201E-3</v>
      </c>
      <c r="AC43">
        <f t="shared" si="17"/>
        <v>1.9048951942031205E-2</v>
      </c>
      <c r="AE43">
        <f>VLOOKUP(Y43,'Hazard Weighting Functions'!$B$5:$G$1205,3,FALSE)</f>
        <v>0</v>
      </c>
      <c r="AF43">
        <f t="shared" si="18"/>
        <v>0</v>
      </c>
      <c r="AG43">
        <f t="shared" si="19"/>
        <v>0</v>
      </c>
      <c r="AH43">
        <f>VLOOKUP(Y43,'Hazard Weighting Functions'!$B$5:$G$1205,5,FALSE)</f>
        <v>0</v>
      </c>
      <c r="AI43">
        <f t="shared" si="20"/>
        <v>0</v>
      </c>
      <c r="AJ43">
        <f t="shared" si="21"/>
        <v>0</v>
      </c>
      <c r="AP43" s="20">
        <f>'IEC_EN62471- Halogen non-GLS'!E93</f>
        <v>328</v>
      </c>
      <c r="AQ43" s="20">
        <f t="shared" si="22"/>
        <v>4.1386002425577351</v>
      </c>
      <c r="AR43">
        <f>VLOOKUP(AP43,'Hazard Weighting Functions'!$B$5:$G$1205,3,FALSE)</f>
        <v>0.01</v>
      </c>
      <c r="AS43">
        <f t="shared" si="23"/>
        <v>4.1386002425577349E-2</v>
      </c>
      <c r="AT43">
        <f t="shared" si="24"/>
        <v>8.4973902425577355E-2</v>
      </c>
      <c r="AU43" s="20">
        <f t="shared" si="11"/>
        <v>328</v>
      </c>
      <c r="AV43">
        <f>O43</f>
        <v>33108.801940461875</v>
      </c>
      <c r="AW43" s="19">
        <f>VLOOKUP(AU43,'Hazard Weighting Functions'!$B$5:$G$1205,3,FALSE)</f>
        <v>0.01</v>
      </c>
      <c r="AX43">
        <f t="shared" si="25"/>
        <v>331.08801940461876</v>
      </c>
      <c r="AY43" s="19">
        <f t="shared" si="26"/>
        <v>679.79121940461869</v>
      </c>
      <c r="AZ43" s="20">
        <f t="shared" si="2"/>
        <v>328</v>
      </c>
      <c r="BA43" s="20">
        <f t="shared" si="3"/>
        <v>33108.801939999998</v>
      </c>
      <c r="BB43" s="19">
        <f>VLOOKUP(AZ43,'Hazard Weighting Functions'!$B$5:$G$1205,3,FALSE)</f>
        <v>0.01</v>
      </c>
      <c r="BC43">
        <f t="shared" si="27"/>
        <v>331.08801940000001</v>
      </c>
      <c r="BD43" s="19">
        <f t="shared" si="28"/>
        <v>679.79121940000005</v>
      </c>
      <c r="BF43" s="20">
        <f t="shared" ref="BF43:BG43" si="50">H133</f>
        <v>420</v>
      </c>
      <c r="BG43" s="20">
        <f t="shared" si="50"/>
        <v>24.5839</v>
      </c>
      <c r="BH43" s="19">
        <f>VLOOKUP(BF43,'Hazard Weighting Functions'!$B$5:$G$1205,4,FALSE)</f>
        <v>9</v>
      </c>
      <c r="BI43" s="19">
        <f t="shared" si="30"/>
        <v>221.2551</v>
      </c>
      <c r="BJ43" s="19">
        <f t="shared" si="31"/>
        <v>1177.2735</v>
      </c>
      <c r="BK43" s="1">
        <f t="shared" si="7"/>
        <v>328</v>
      </c>
      <c r="BL43" s="20">
        <f t="shared" si="8"/>
        <v>33108.801940461875</v>
      </c>
      <c r="BM43">
        <f>VLOOKUP(BK43,'Hazard Weighting Functions'!$B$5:$G$1205,4,FALSE)</f>
        <v>0</v>
      </c>
      <c r="BN43">
        <f t="shared" si="32"/>
        <v>0</v>
      </c>
      <c r="BO43" s="19">
        <f t="shared" si="33"/>
        <v>0</v>
      </c>
      <c r="BP43" s="20">
        <f t="shared" si="9"/>
        <v>328</v>
      </c>
      <c r="BQ43" s="20">
        <f t="shared" si="10"/>
        <v>33108.801939999998</v>
      </c>
      <c r="BR43" s="19">
        <f>VLOOKUP(BP43,'Hazard Weighting Functions'!$B$5:$G$1205,4,FALSE)</f>
        <v>0</v>
      </c>
      <c r="BS43" s="19">
        <f t="shared" si="34"/>
        <v>0</v>
      </c>
      <c r="BT43" s="19">
        <f t="shared" si="35"/>
        <v>0</v>
      </c>
      <c r="BV43">
        <f>VLOOKUP(BK43,'Hazard Weighting Functions'!$B$5:$G$1205,5,FALSE)</f>
        <v>0</v>
      </c>
      <c r="BW43" s="24">
        <f t="shared" si="36"/>
        <v>0</v>
      </c>
      <c r="BX43" s="24">
        <f t="shared" si="37"/>
        <v>0</v>
      </c>
    </row>
    <row r="44" spans="2:76">
      <c r="B44">
        <v>230</v>
      </c>
      <c r="C44" s="36">
        <v>5.6193200000000006E-2</v>
      </c>
      <c r="E44">
        <v>230</v>
      </c>
      <c r="F44" s="36">
        <v>5.6193200000000006E-2</v>
      </c>
      <c r="H44" s="19">
        <v>230</v>
      </c>
      <c r="I44" s="36">
        <v>5.6193200000000006E-2</v>
      </c>
      <c r="K44">
        <v>1075</v>
      </c>
      <c r="L44" s="36">
        <v>1680.1263650001245</v>
      </c>
      <c r="N44">
        <v>330</v>
      </c>
      <c r="O44" s="36">
        <v>34870.319999999992</v>
      </c>
      <c r="Q44" s="19">
        <v>330</v>
      </c>
      <c r="R44" s="36">
        <v>34870.32</v>
      </c>
      <c r="T44">
        <f>L44/C264</f>
        <v>12.567236126591352</v>
      </c>
      <c r="V44">
        <f t="shared" si="12"/>
        <v>230</v>
      </c>
      <c r="W44">
        <f t="shared" si="13"/>
        <v>5.6193200000000006E-2</v>
      </c>
      <c r="Y44">
        <f t="shared" si="14"/>
        <v>230</v>
      </c>
      <c r="Z44">
        <f t="shared" si="15"/>
        <v>5.6193200000000006E-2</v>
      </c>
      <c r="AA44">
        <f>VLOOKUP(Y44,'Hazard Weighting Functions'!$B$5:$G$1205,2,FALSE)</f>
        <v>0.19</v>
      </c>
      <c r="AB44">
        <f t="shared" si="16"/>
        <v>1.0676708000000002E-2</v>
      </c>
      <c r="AC44">
        <f t="shared" si="17"/>
        <v>2.4088127623041085E-2</v>
      </c>
      <c r="AE44">
        <f>VLOOKUP(Y44,'Hazard Weighting Functions'!$B$5:$G$1205,3,FALSE)</f>
        <v>0</v>
      </c>
      <c r="AF44">
        <f t="shared" si="18"/>
        <v>0</v>
      </c>
      <c r="AG44">
        <f t="shared" si="19"/>
        <v>0</v>
      </c>
      <c r="AH44">
        <f>VLOOKUP(Y44,'Hazard Weighting Functions'!$B$5:$G$1205,5,FALSE)</f>
        <v>0</v>
      </c>
      <c r="AI44">
        <f t="shared" si="20"/>
        <v>0</v>
      </c>
      <c r="AJ44">
        <f t="shared" si="21"/>
        <v>0</v>
      </c>
      <c r="AP44" s="20">
        <f>'IEC_EN62471- Halogen non-GLS'!E94</f>
        <v>330</v>
      </c>
      <c r="AQ44" s="20">
        <f t="shared" si="22"/>
        <v>4.3587900000000008</v>
      </c>
      <c r="AR44">
        <f>VLOOKUP(AP44,'Hazard Weighting Functions'!$B$5:$G$1205,3,FALSE)</f>
        <v>0.01</v>
      </c>
      <c r="AS44">
        <f t="shared" si="23"/>
        <v>4.3587900000000006E-2</v>
      </c>
      <c r="AT44">
        <f t="shared" si="24"/>
        <v>8.952688463055701E-2</v>
      </c>
      <c r="AU44" s="20">
        <f t="shared" si="11"/>
        <v>330</v>
      </c>
      <c r="AV44">
        <f>O44</f>
        <v>34870.319999999992</v>
      </c>
      <c r="AW44" s="19">
        <f>VLOOKUP(AU44,'Hazard Weighting Functions'!$B$5:$G$1205,3,FALSE)</f>
        <v>0.01</v>
      </c>
      <c r="AX44">
        <f t="shared" si="25"/>
        <v>348.70319999999992</v>
      </c>
      <c r="AY44" s="19">
        <f t="shared" si="26"/>
        <v>716.21507704445582</v>
      </c>
      <c r="AZ44" s="20">
        <f t="shared" si="2"/>
        <v>330</v>
      </c>
      <c r="BA44" s="20">
        <f t="shared" si="3"/>
        <v>34870.32</v>
      </c>
      <c r="BB44" s="19">
        <f>VLOOKUP(AZ44,'Hazard Weighting Functions'!$B$5:$G$1205,3,FALSE)</f>
        <v>0.01</v>
      </c>
      <c r="BC44">
        <f t="shared" si="27"/>
        <v>348.70319999999998</v>
      </c>
      <c r="BD44" s="19">
        <f t="shared" si="28"/>
        <v>716.21507700000006</v>
      </c>
      <c r="BF44" s="20">
        <f t="shared" ref="BF44:BG44" si="51">H134</f>
        <v>425</v>
      </c>
      <c r="BG44" s="20">
        <f t="shared" si="51"/>
        <v>26.279399999999999</v>
      </c>
      <c r="BH44" s="19">
        <f>VLOOKUP(BF44,'Hazard Weighting Functions'!$B$5:$G$1205,4,FALSE)</f>
        <v>9.5</v>
      </c>
      <c r="BI44" s="19">
        <f t="shared" si="30"/>
        <v>249.65429999999998</v>
      </c>
      <c r="BJ44" s="19">
        <f t="shared" si="31"/>
        <v>1310.9516000000003</v>
      </c>
      <c r="BK44" s="1">
        <f t="shared" si="7"/>
        <v>330</v>
      </c>
      <c r="BL44" s="20">
        <f t="shared" si="8"/>
        <v>34870.319999999992</v>
      </c>
      <c r="BM44">
        <f>VLOOKUP(BK44,'Hazard Weighting Functions'!$B$5:$G$1205,4,FALSE)</f>
        <v>0</v>
      </c>
      <c r="BN44">
        <f t="shared" si="32"/>
        <v>0</v>
      </c>
      <c r="BO44" s="19">
        <f t="shared" si="33"/>
        <v>0</v>
      </c>
      <c r="BP44" s="20">
        <f t="shared" si="9"/>
        <v>330</v>
      </c>
      <c r="BQ44" s="20">
        <f t="shared" si="10"/>
        <v>34870.32</v>
      </c>
      <c r="BR44" s="19">
        <f>VLOOKUP(BP44,'Hazard Weighting Functions'!$B$5:$G$1205,4,FALSE)</f>
        <v>0</v>
      </c>
      <c r="BS44" s="19">
        <f t="shared" si="34"/>
        <v>0</v>
      </c>
      <c r="BT44" s="19">
        <f t="shared" si="35"/>
        <v>0</v>
      </c>
      <c r="BV44">
        <f>VLOOKUP(BK44,'Hazard Weighting Functions'!$B$5:$G$1205,5,FALSE)</f>
        <v>0</v>
      </c>
      <c r="BW44" s="24">
        <f t="shared" si="36"/>
        <v>0</v>
      </c>
      <c r="BX44" s="24">
        <f t="shared" si="37"/>
        <v>0</v>
      </c>
    </row>
    <row r="45" spans="2:76">
      <c r="B45">
        <v>232</v>
      </c>
      <c r="C45" s="36">
        <v>6.4200189674682065E-2</v>
      </c>
      <c r="E45">
        <v>232</v>
      </c>
      <c r="F45" s="36">
        <v>6.4200189674682065E-2</v>
      </c>
      <c r="H45" s="19">
        <v>232</v>
      </c>
      <c r="I45" s="36">
        <v>6.4200189674682065E-2</v>
      </c>
      <c r="K45">
        <v>1080</v>
      </c>
      <c r="L45" s="36">
        <v>1671.68493408575</v>
      </c>
      <c r="N45">
        <v>332</v>
      </c>
      <c r="O45" s="36">
        <v>36751.18770444559</v>
      </c>
      <c r="Q45" s="19">
        <v>332</v>
      </c>
      <c r="R45" s="36">
        <v>36751.187700000002</v>
      </c>
      <c r="T45">
        <f>L45/C265</f>
        <v>12.566791962997279</v>
      </c>
      <c r="V45">
        <f t="shared" si="12"/>
        <v>232</v>
      </c>
      <c r="W45">
        <f t="shared" si="13"/>
        <v>6.4200189674682065E-2</v>
      </c>
      <c r="Y45">
        <f t="shared" si="14"/>
        <v>232</v>
      </c>
      <c r="Z45">
        <f t="shared" si="15"/>
        <v>6.4200189674682065E-2</v>
      </c>
      <c r="AA45">
        <f>VLOOKUP(Y45,'Hazard Weighting Functions'!$B$5:$G$1205,2,FALSE)</f>
        <v>0.2089</v>
      </c>
      <c r="AB45">
        <f t="shared" si="16"/>
        <v>1.3411419623041083E-2</v>
      </c>
      <c r="AC45">
        <f t="shared" si="17"/>
        <v>3.0098661668047012E-2</v>
      </c>
      <c r="AE45">
        <f>VLOOKUP(Y45,'Hazard Weighting Functions'!$B$5:$G$1205,3,FALSE)</f>
        <v>0</v>
      </c>
      <c r="AF45">
        <f t="shared" si="18"/>
        <v>0</v>
      </c>
      <c r="AG45">
        <f t="shared" si="19"/>
        <v>0</v>
      </c>
      <c r="AH45">
        <f>VLOOKUP(Y45,'Hazard Weighting Functions'!$B$5:$G$1205,5,FALSE)</f>
        <v>0</v>
      </c>
      <c r="AI45">
        <f t="shared" si="20"/>
        <v>0</v>
      </c>
      <c r="AJ45">
        <f t="shared" si="21"/>
        <v>0</v>
      </c>
      <c r="AP45" s="20">
        <f>'IEC_EN62471- Halogen non-GLS'!E95</f>
        <v>332</v>
      </c>
      <c r="AQ45" s="20">
        <f t="shared" si="22"/>
        <v>4.5938984630557007</v>
      </c>
      <c r="AR45">
        <f>VLOOKUP(AP45,'Hazard Weighting Functions'!$B$5:$G$1205,3,FALSE)</f>
        <v>0.01</v>
      </c>
      <c r="AS45">
        <f t="shared" si="23"/>
        <v>4.5938984630557005E-2</v>
      </c>
      <c r="AT45">
        <f t="shared" si="24"/>
        <v>9.4358359803447367E-2</v>
      </c>
      <c r="AU45" s="20">
        <f t="shared" si="11"/>
        <v>332</v>
      </c>
      <c r="AV45">
        <f>O45</f>
        <v>36751.18770444559</v>
      </c>
      <c r="AW45" s="19">
        <f>VLOOKUP(AU45,'Hazard Weighting Functions'!$B$5:$G$1205,3,FALSE)</f>
        <v>0.01</v>
      </c>
      <c r="AX45">
        <f t="shared" si="25"/>
        <v>367.5118770444559</v>
      </c>
      <c r="AY45" s="19">
        <f t="shared" si="26"/>
        <v>754.86687842757874</v>
      </c>
      <c r="AZ45" s="20">
        <f t="shared" si="2"/>
        <v>332</v>
      </c>
      <c r="BA45" s="20">
        <f t="shared" si="3"/>
        <v>36751.187700000002</v>
      </c>
      <c r="BB45" s="19">
        <f>VLOOKUP(AZ45,'Hazard Weighting Functions'!$B$5:$G$1205,3,FALSE)</f>
        <v>0.01</v>
      </c>
      <c r="BC45">
        <f t="shared" si="27"/>
        <v>367.51187700000003</v>
      </c>
      <c r="BD45" s="19">
        <f t="shared" si="28"/>
        <v>754.86687840000002</v>
      </c>
      <c r="BF45" s="20">
        <f t="shared" ref="BF45:BG45" si="52">H135</f>
        <v>430</v>
      </c>
      <c r="BG45" s="20">
        <f t="shared" si="52"/>
        <v>28.033300000000001</v>
      </c>
      <c r="BH45" s="19">
        <f>VLOOKUP(BF45,'Hazard Weighting Functions'!$B$5:$G$1205,4,FALSE)</f>
        <v>9.8000000000000007</v>
      </c>
      <c r="BI45" s="19">
        <f t="shared" si="30"/>
        <v>274.72634000000005</v>
      </c>
      <c r="BJ45" s="19">
        <f t="shared" si="31"/>
        <v>1433.0483500000003</v>
      </c>
      <c r="BK45" s="1">
        <f t="shared" si="7"/>
        <v>332</v>
      </c>
      <c r="BL45" s="20">
        <f t="shared" si="8"/>
        <v>36751.18770444559</v>
      </c>
      <c r="BM45">
        <f>VLOOKUP(BK45,'Hazard Weighting Functions'!$B$5:$G$1205,4,FALSE)</f>
        <v>0</v>
      </c>
      <c r="BN45">
        <f t="shared" si="32"/>
        <v>0</v>
      </c>
      <c r="BO45" s="19">
        <f t="shared" si="33"/>
        <v>0</v>
      </c>
      <c r="BP45" s="20">
        <f t="shared" si="9"/>
        <v>332</v>
      </c>
      <c r="BQ45" s="20">
        <f t="shared" si="10"/>
        <v>36751.187700000002</v>
      </c>
      <c r="BR45" s="19">
        <f>VLOOKUP(BP45,'Hazard Weighting Functions'!$B$5:$G$1205,4,FALSE)</f>
        <v>0</v>
      </c>
      <c r="BS45" s="19">
        <f t="shared" si="34"/>
        <v>0</v>
      </c>
      <c r="BT45" s="19">
        <f t="shared" si="35"/>
        <v>0</v>
      </c>
      <c r="BV45">
        <f>VLOOKUP(BK45,'Hazard Weighting Functions'!$B$5:$G$1205,5,FALSE)</f>
        <v>0</v>
      </c>
      <c r="BW45" s="24">
        <f t="shared" si="36"/>
        <v>0</v>
      </c>
      <c r="BX45" s="24">
        <f t="shared" si="37"/>
        <v>0</v>
      </c>
    </row>
    <row r="46" spans="2:76">
      <c r="B46">
        <v>234</v>
      </c>
      <c r="C46" s="36">
        <v>7.2806466164947334E-2</v>
      </c>
      <c r="E46">
        <v>234</v>
      </c>
      <c r="F46" s="36">
        <v>7.2806466164947334E-2</v>
      </c>
      <c r="H46" s="19">
        <v>234</v>
      </c>
      <c r="I46" s="36">
        <v>7.2806466164947334E-2</v>
      </c>
      <c r="K46">
        <v>1085</v>
      </c>
      <c r="L46" s="36">
        <v>1663.5320689687505</v>
      </c>
      <c r="N46">
        <v>334</v>
      </c>
      <c r="O46" s="36">
        <v>38735.500138312287</v>
      </c>
      <c r="Q46" s="19">
        <v>334</v>
      </c>
      <c r="R46" s="36">
        <v>38735.500139999996</v>
      </c>
      <c r="T46">
        <f>L46/C266</f>
        <v>12.569093312243584</v>
      </c>
      <c r="V46">
        <f t="shared" si="12"/>
        <v>234</v>
      </c>
      <c r="W46">
        <f t="shared" si="13"/>
        <v>7.2806466164947334E-2</v>
      </c>
      <c r="Y46">
        <f t="shared" si="14"/>
        <v>234</v>
      </c>
      <c r="Z46">
        <f t="shared" si="15"/>
        <v>7.2806466164947334E-2</v>
      </c>
      <c r="AA46">
        <f>VLOOKUP(Y46,'Hazard Weighting Functions'!$B$5:$G$1205,2,FALSE)</f>
        <v>0.22919999999999999</v>
      </c>
      <c r="AB46">
        <f t="shared" si="16"/>
        <v>1.6687242045005928E-2</v>
      </c>
      <c r="AC46">
        <f t="shared" si="17"/>
        <v>3.7482148003637486E-2</v>
      </c>
      <c r="AE46">
        <f>VLOOKUP(Y46,'Hazard Weighting Functions'!$B$5:$G$1205,3,FALSE)</f>
        <v>0</v>
      </c>
      <c r="AF46">
        <f t="shared" si="18"/>
        <v>0</v>
      </c>
      <c r="AG46">
        <f t="shared" si="19"/>
        <v>0</v>
      </c>
      <c r="AH46">
        <f>VLOOKUP(Y46,'Hazard Weighting Functions'!$B$5:$G$1205,5,FALSE)</f>
        <v>0</v>
      </c>
      <c r="AI46">
        <f t="shared" si="20"/>
        <v>0</v>
      </c>
      <c r="AJ46">
        <f t="shared" si="21"/>
        <v>0</v>
      </c>
      <c r="AP46" s="20">
        <f>'IEC_EN62471- Halogen non-GLS'!E96</f>
        <v>334</v>
      </c>
      <c r="AQ46" s="20">
        <f t="shared" si="22"/>
        <v>4.8419375172890371</v>
      </c>
      <c r="AR46">
        <f>VLOOKUP(AP46,'Hazard Weighting Functions'!$B$5:$G$1205,3,FALSE)</f>
        <v>0.01</v>
      </c>
      <c r="AS46">
        <f t="shared" si="23"/>
        <v>4.8419375172890369E-2</v>
      </c>
      <c r="AT46">
        <f t="shared" si="24"/>
        <v>9.941723142782101E-2</v>
      </c>
      <c r="AU46" s="20">
        <f t="shared" si="11"/>
        <v>334</v>
      </c>
      <c r="AV46">
        <f>O46</f>
        <v>38735.500138312287</v>
      </c>
      <c r="AW46" s="19">
        <f>VLOOKUP(AU46,'Hazard Weighting Functions'!$B$5:$G$1205,3,FALSE)</f>
        <v>0.01</v>
      </c>
      <c r="AX46">
        <f t="shared" si="25"/>
        <v>387.3550013831229</v>
      </c>
      <c r="AY46" s="19">
        <f t="shared" si="26"/>
        <v>795.33785142256806</v>
      </c>
      <c r="AZ46" s="20">
        <f t="shared" si="2"/>
        <v>334</v>
      </c>
      <c r="BA46" s="20">
        <f t="shared" si="3"/>
        <v>38735.500139999996</v>
      </c>
      <c r="BB46" s="19">
        <f>VLOOKUP(AZ46,'Hazard Weighting Functions'!$B$5:$G$1205,3,FALSE)</f>
        <v>0.01</v>
      </c>
      <c r="BC46">
        <f t="shared" si="27"/>
        <v>387.35500139999999</v>
      </c>
      <c r="BD46" s="19">
        <f t="shared" si="28"/>
        <v>795.33785140000009</v>
      </c>
      <c r="BF46" s="20">
        <f t="shared" ref="BF46:BG46" si="53">H136</f>
        <v>435</v>
      </c>
      <c r="BG46" s="20">
        <f t="shared" si="53"/>
        <v>29.849299999999999</v>
      </c>
      <c r="BH46" s="19">
        <f>VLOOKUP(BF46,'Hazard Weighting Functions'!$B$5:$G$1205,4,FALSE)</f>
        <v>10</v>
      </c>
      <c r="BI46" s="19">
        <f t="shared" si="30"/>
        <v>298.49299999999999</v>
      </c>
      <c r="BJ46" s="19">
        <f t="shared" si="31"/>
        <v>1538.0574999999999</v>
      </c>
      <c r="BK46" s="1">
        <f t="shared" si="7"/>
        <v>334</v>
      </c>
      <c r="BL46" s="20">
        <f t="shared" si="8"/>
        <v>38735.500138312287</v>
      </c>
      <c r="BM46">
        <f>VLOOKUP(BK46,'Hazard Weighting Functions'!$B$5:$G$1205,4,FALSE)</f>
        <v>0</v>
      </c>
      <c r="BN46">
        <f t="shared" si="32"/>
        <v>0</v>
      </c>
      <c r="BO46" s="19">
        <f t="shared" si="33"/>
        <v>0</v>
      </c>
      <c r="BP46" s="20">
        <f t="shared" si="9"/>
        <v>334</v>
      </c>
      <c r="BQ46" s="20">
        <f t="shared" si="10"/>
        <v>38735.500139999996</v>
      </c>
      <c r="BR46" s="19">
        <f>VLOOKUP(BP46,'Hazard Weighting Functions'!$B$5:$G$1205,4,FALSE)</f>
        <v>0</v>
      </c>
      <c r="BS46" s="19">
        <f t="shared" si="34"/>
        <v>0</v>
      </c>
      <c r="BT46" s="19">
        <f t="shared" si="35"/>
        <v>0</v>
      </c>
      <c r="BV46">
        <f>VLOOKUP(BK46,'Hazard Weighting Functions'!$B$5:$G$1205,5,FALSE)</f>
        <v>0</v>
      </c>
      <c r="BW46" s="24">
        <f t="shared" si="36"/>
        <v>0</v>
      </c>
      <c r="BX46" s="24">
        <f t="shared" si="37"/>
        <v>0</v>
      </c>
    </row>
    <row r="47" spans="2:76">
      <c r="B47">
        <v>236</v>
      </c>
      <c r="C47" s="36">
        <v>8.2848230910882684E-2</v>
      </c>
      <c r="E47">
        <v>236</v>
      </c>
      <c r="F47" s="36">
        <v>8.2848230910882684E-2</v>
      </c>
      <c r="H47" s="19">
        <v>236</v>
      </c>
      <c r="I47" s="36">
        <v>8.2848230910882684E-2</v>
      </c>
      <c r="K47">
        <v>1090</v>
      </c>
      <c r="L47" s="36">
        <v>1655.3288669026988</v>
      </c>
      <c r="N47">
        <v>336</v>
      </c>
      <c r="O47" s="36">
        <v>40798.285003944511</v>
      </c>
      <c r="Q47" s="19">
        <v>336</v>
      </c>
      <c r="R47" s="36">
        <v>40798.285000000003</v>
      </c>
      <c r="T47">
        <f>L47/C267</f>
        <v>12.571704224185272</v>
      </c>
      <c r="V47">
        <f t="shared" si="12"/>
        <v>236</v>
      </c>
      <c r="W47">
        <f t="shared" si="13"/>
        <v>8.2848230910882684E-2</v>
      </c>
      <c r="Y47">
        <f t="shared" si="14"/>
        <v>236</v>
      </c>
      <c r="Z47">
        <f t="shared" si="15"/>
        <v>8.2848230910882684E-2</v>
      </c>
      <c r="AA47">
        <f>VLOOKUP(Y47,'Hazard Weighting Functions'!$B$5:$G$1205,2,FALSE)</f>
        <v>0.251</v>
      </c>
      <c r="AB47">
        <f t="shared" si="16"/>
        <v>2.0794905958631555E-2</v>
      </c>
      <c r="AC47">
        <f t="shared" si="17"/>
        <v>4.6730557121933636E-2</v>
      </c>
      <c r="AE47">
        <f>VLOOKUP(Y47,'Hazard Weighting Functions'!$B$5:$G$1205,3,FALSE)</f>
        <v>0</v>
      </c>
      <c r="AF47">
        <f t="shared" si="18"/>
        <v>0</v>
      </c>
      <c r="AG47">
        <f t="shared" si="19"/>
        <v>0</v>
      </c>
      <c r="AH47">
        <f>VLOOKUP(Y47,'Hazard Weighting Functions'!$B$5:$G$1205,5,FALSE)</f>
        <v>0</v>
      </c>
      <c r="AI47">
        <f t="shared" si="20"/>
        <v>0</v>
      </c>
      <c r="AJ47">
        <f t="shared" si="21"/>
        <v>0</v>
      </c>
      <c r="AP47" s="20">
        <f>'IEC_EN62471- Halogen non-GLS'!E97</f>
        <v>336</v>
      </c>
      <c r="AQ47" s="20">
        <f t="shared" si="22"/>
        <v>5.0997856254930642</v>
      </c>
      <c r="AR47">
        <f>VLOOKUP(AP47,'Hazard Weighting Functions'!$B$5:$G$1205,3,FALSE)</f>
        <v>0.01</v>
      </c>
      <c r="AS47">
        <f t="shared" si="23"/>
        <v>5.099785625493064E-2</v>
      </c>
      <c r="AT47">
        <f t="shared" si="24"/>
        <v>0.10467090304956819</v>
      </c>
      <c r="AU47" s="20">
        <f t="shared" si="11"/>
        <v>336</v>
      </c>
      <c r="AV47">
        <f>O47</f>
        <v>40798.285003944511</v>
      </c>
      <c r="AW47" s="19">
        <f>VLOOKUP(AU47,'Hazard Weighting Functions'!$B$5:$G$1205,3,FALSE)</f>
        <v>0.01</v>
      </c>
      <c r="AX47">
        <f t="shared" si="25"/>
        <v>407.98285003944511</v>
      </c>
      <c r="AY47" s="19">
        <f t="shared" si="26"/>
        <v>837.36722439654545</v>
      </c>
      <c r="AZ47" s="20">
        <f t="shared" si="2"/>
        <v>336</v>
      </c>
      <c r="BA47" s="20">
        <f t="shared" si="3"/>
        <v>40798.285000000003</v>
      </c>
      <c r="BB47" s="19">
        <f>VLOOKUP(AZ47,'Hazard Weighting Functions'!$B$5:$G$1205,3,FALSE)</f>
        <v>0.01</v>
      </c>
      <c r="BC47">
        <f t="shared" si="27"/>
        <v>407.98285000000004</v>
      </c>
      <c r="BD47" s="19">
        <f t="shared" si="28"/>
        <v>837.36722440000005</v>
      </c>
      <c r="BF47" s="20">
        <f t="shared" ref="BF47:BG47" si="54">H137</f>
        <v>440</v>
      </c>
      <c r="BG47" s="20">
        <f t="shared" si="54"/>
        <v>31.672999999999998</v>
      </c>
      <c r="BH47" s="19">
        <f>VLOOKUP(BF47,'Hazard Weighting Functions'!$B$5:$G$1205,4,FALSE)</f>
        <v>10</v>
      </c>
      <c r="BI47" s="19">
        <f t="shared" si="30"/>
        <v>316.72999999999996</v>
      </c>
      <c r="BJ47" s="19">
        <f t="shared" si="31"/>
        <v>1605.8611249999999</v>
      </c>
      <c r="BK47" s="1">
        <f t="shared" si="7"/>
        <v>336</v>
      </c>
      <c r="BL47" s="20">
        <f t="shared" si="8"/>
        <v>40798.285003944511</v>
      </c>
      <c r="BM47">
        <f>VLOOKUP(BK47,'Hazard Weighting Functions'!$B$5:$G$1205,4,FALSE)</f>
        <v>0</v>
      </c>
      <c r="BN47">
        <f t="shared" si="32"/>
        <v>0</v>
      </c>
      <c r="BO47" s="19">
        <f t="shared" si="33"/>
        <v>0</v>
      </c>
      <c r="BP47" s="20">
        <f t="shared" si="9"/>
        <v>336</v>
      </c>
      <c r="BQ47" s="20">
        <f t="shared" si="10"/>
        <v>40798.285000000003</v>
      </c>
      <c r="BR47" s="19">
        <f>VLOOKUP(BP47,'Hazard Weighting Functions'!$B$5:$G$1205,4,FALSE)</f>
        <v>0</v>
      </c>
      <c r="BS47" s="19">
        <f t="shared" si="34"/>
        <v>0</v>
      </c>
      <c r="BT47" s="19">
        <f t="shared" si="35"/>
        <v>0</v>
      </c>
      <c r="BV47">
        <f>VLOOKUP(BK47,'Hazard Weighting Functions'!$B$5:$G$1205,5,FALSE)</f>
        <v>0</v>
      </c>
      <c r="BW47" s="24">
        <f t="shared" si="36"/>
        <v>0</v>
      </c>
      <c r="BX47" s="24">
        <f t="shared" si="37"/>
        <v>0</v>
      </c>
    </row>
    <row r="48" spans="2:76">
      <c r="B48">
        <v>238</v>
      </c>
      <c r="C48" s="36">
        <v>9.4517679166552793E-2</v>
      </c>
      <c r="E48">
        <v>238</v>
      </c>
      <c r="F48" s="36">
        <v>9.4517679166552793E-2</v>
      </c>
      <c r="H48" s="19">
        <v>238</v>
      </c>
      <c r="I48" s="36">
        <v>9.4517679166552793E-2</v>
      </c>
      <c r="K48">
        <v>1095</v>
      </c>
      <c r="L48" s="36">
        <v>1648.4016336343782</v>
      </c>
      <c r="N48">
        <v>338</v>
      </c>
      <c r="O48" s="36">
        <v>42938.437435710039</v>
      </c>
      <c r="Q48" s="19">
        <v>338</v>
      </c>
      <c r="R48" s="36">
        <v>42938.437440000002</v>
      </c>
      <c r="T48">
        <f>L48/C268</f>
        <v>12.584563492544076</v>
      </c>
      <c r="V48">
        <f t="shared" si="12"/>
        <v>238</v>
      </c>
      <c r="W48">
        <f t="shared" si="13"/>
        <v>9.4517679166552793E-2</v>
      </c>
      <c r="Y48">
        <f t="shared" si="14"/>
        <v>238</v>
      </c>
      <c r="Z48">
        <f t="shared" si="15"/>
        <v>9.4517679166552793E-2</v>
      </c>
      <c r="AA48">
        <f>VLOOKUP(Y48,'Hazard Weighting Functions'!$B$5:$G$1205,2,FALSE)</f>
        <v>0.27439999999999998</v>
      </c>
      <c r="AB48">
        <f t="shared" si="16"/>
        <v>2.5935651163302084E-2</v>
      </c>
      <c r="AC48">
        <f t="shared" si="17"/>
        <v>5.814455116330209E-2</v>
      </c>
      <c r="AE48">
        <f>VLOOKUP(Y48,'Hazard Weighting Functions'!$B$5:$G$1205,3,FALSE)</f>
        <v>0</v>
      </c>
      <c r="AF48">
        <f t="shared" si="18"/>
        <v>0</v>
      </c>
      <c r="AG48">
        <f t="shared" si="19"/>
        <v>0</v>
      </c>
      <c r="AH48">
        <f>VLOOKUP(Y48,'Hazard Weighting Functions'!$B$5:$G$1205,5,FALSE)</f>
        <v>0</v>
      </c>
      <c r="AI48">
        <f t="shared" si="20"/>
        <v>0</v>
      </c>
      <c r="AJ48">
        <f t="shared" si="21"/>
        <v>0</v>
      </c>
      <c r="AP48" s="20">
        <f>'IEC_EN62471- Halogen non-GLS'!E98</f>
        <v>338</v>
      </c>
      <c r="AQ48" s="20">
        <f t="shared" si="22"/>
        <v>5.3673046794637544</v>
      </c>
      <c r="AR48">
        <f>VLOOKUP(AP48,'Hazard Weighting Functions'!$B$5:$G$1205,3,FALSE)</f>
        <v>0.01</v>
      </c>
      <c r="AS48">
        <f t="shared" si="23"/>
        <v>5.3673046794637545E-2</v>
      </c>
      <c r="AT48">
        <f t="shared" si="24"/>
        <v>0.11014644679463755</v>
      </c>
      <c r="AU48" s="20">
        <f t="shared" si="11"/>
        <v>338</v>
      </c>
      <c r="AV48">
        <f>O48</f>
        <v>42938.437435710039</v>
      </c>
      <c r="AW48" s="19">
        <f>VLOOKUP(AU48,'Hazard Weighting Functions'!$B$5:$G$1205,3,FALSE)</f>
        <v>0.01</v>
      </c>
      <c r="AX48">
        <f t="shared" si="25"/>
        <v>429.3843743571004</v>
      </c>
      <c r="AY48" s="19">
        <f t="shared" si="26"/>
        <v>881.17157435710033</v>
      </c>
      <c r="AZ48" s="20">
        <f t="shared" si="2"/>
        <v>338</v>
      </c>
      <c r="BA48" s="20">
        <f t="shared" si="3"/>
        <v>42938.437440000002</v>
      </c>
      <c r="BB48" s="19">
        <f>VLOOKUP(AZ48,'Hazard Weighting Functions'!$B$5:$G$1205,3,FALSE)</f>
        <v>0.01</v>
      </c>
      <c r="BC48">
        <f t="shared" si="27"/>
        <v>429.38437440000001</v>
      </c>
      <c r="BD48" s="19">
        <f t="shared" si="28"/>
        <v>881.17157440000005</v>
      </c>
      <c r="BF48" s="20">
        <f t="shared" ref="BF48:BG48" si="55">H138</f>
        <v>445</v>
      </c>
      <c r="BG48" s="20">
        <f t="shared" si="55"/>
        <v>33.5685</v>
      </c>
      <c r="BH48" s="19">
        <f>VLOOKUP(BF48,'Hazard Weighting Functions'!$B$5:$G$1205,4,FALSE)</f>
        <v>9.6999999999999993</v>
      </c>
      <c r="BI48" s="19">
        <f t="shared" si="30"/>
        <v>325.61444999999998</v>
      </c>
      <c r="BJ48" s="19">
        <f t="shared" si="31"/>
        <v>1648.1333749999999</v>
      </c>
      <c r="BK48" s="1">
        <f t="shared" si="7"/>
        <v>338</v>
      </c>
      <c r="BL48" s="20">
        <f t="shared" si="8"/>
        <v>42938.437435710039</v>
      </c>
      <c r="BM48">
        <f>VLOOKUP(BK48,'Hazard Weighting Functions'!$B$5:$G$1205,4,FALSE)</f>
        <v>0</v>
      </c>
      <c r="BN48">
        <f t="shared" si="32"/>
        <v>0</v>
      </c>
      <c r="BO48" s="19">
        <f t="shared" si="33"/>
        <v>0</v>
      </c>
      <c r="BP48" s="20">
        <f t="shared" si="9"/>
        <v>338</v>
      </c>
      <c r="BQ48" s="20">
        <f t="shared" si="10"/>
        <v>42938.437440000002</v>
      </c>
      <c r="BR48" s="19">
        <f>VLOOKUP(BP48,'Hazard Weighting Functions'!$B$5:$G$1205,4,FALSE)</f>
        <v>0</v>
      </c>
      <c r="BS48" s="19">
        <f t="shared" si="34"/>
        <v>0</v>
      </c>
      <c r="BT48" s="19">
        <f t="shared" si="35"/>
        <v>0</v>
      </c>
      <c r="BV48">
        <f>VLOOKUP(BK48,'Hazard Weighting Functions'!$B$5:$G$1205,5,FALSE)</f>
        <v>0</v>
      </c>
      <c r="BW48" s="24">
        <f t="shared" si="36"/>
        <v>0</v>
      </c>
      <c r="BX48" s="24">
        <f t="shared" si="37"/>
        <v>0</v>
      </c>
    </row>
    <row r="49" spans="2:76">
      <c r="B49">
        <v>240</v>
      </c>
      <c r="C49" s="36">
        <v>0.10736300000000001</v>
      </c>
      <c r="E49">
        <v>240</v>
      </c>
      <c r="F49" s="36">
        <v>0.10736300000000001</v>
      </c>
      <c r="H49" s="19">
        <v>240</v>
      </c>
      <c r="I49" s="36">
        <v>0.10736300000000001</v>
      </c>
      <c r="K49">
        <v>1100</v>
      </c>
      <c r="L49" s="36">
        <v>1638.6369116466815</v>
      </c>
      <c r="N49">
        <v>340</v>
      </c>
      <c r="O49" s="36">
        <v>45178.719999999994</v>
      </c>
      <c r="Q49" s="19">
        <v>340</v>
      </c>
      <c r="R49" s="36">
        <v>45178.720000000001</v>
      </c>
      <c r="T49">
        <f>L49/C269</f>
        <v>12.576360655794019</v>
      </c>
      <c r="V49">
        <f t="shared" si="12"/>
        <v>240</v>
      </c>
      <c r="W49">
        <f t="shared" si="13"/>
        <v>0.10736300000000001</v>
      </c>
      <c r="Y49">
        <f t="shared" si="14"/>
        <v>240</v>
      </c>
      <c r="Z49">
        <f t="shared" si="15"/>
        <v>0.10736300000000001</v>
      </c>
      <c r="AA49">
        <f>VLOOKUP(Y49,'Hazard Weighting Functions'!$B$5:$G$1205,2,FALSE)</f>
        <v>0.3</v>
      </c>
      <c r="AB49">
        <f t="shared" si="16"/>
        <v>3.2208900000000006E-2</v>
      </c>
      <c r="AC49">
        <f t="shared" si="17"/>
        <v>7.1273154641061459E-2</v>
      </c>
      <c r="AE49">
        <f>VLOOKUP(Y49,'Hazard Weighting Functions'!$B$5:$G$1205,3,FALSE)</f>
        <v>0</v>
      </c>
      <c r="AF49">
        <f t="shared" si="18"/>
        <v>0</v>
      </c>
      <c r="AG49">
        <f t="shared" si="19"/>
        <v>0</v>
      </c>
      <c r="AH49">
        <f>VLOOKUP(Y49,'Hazard Weighting Functions'!$B$5:$G$1205,5,FALSE)</f>
        <v>0</v>
      </c>
      <c r="AI49">
        <f t="shared" si="20"/>
        <v>0</v>
      </c>
      <c r="AJ49">
        <f t="shared" si="21"/>
        <v>0</v>
      </c>
      <c r="AP49" s="20">
        <f>'IEC_EN62471- Halogen non-GLS'!E99</f>
        <v>340</v>
      </c>
      <c r="AQ49" s="20">
        <f t="shared" si="22"/>
        <v>5.6473399999999998</v>
      </c>
      <c r="AR49">
        <f>VLOOKUP(AP49,'Hazard Weighting Functions'!$B$5:$G$1205,3,FALSE)</f>
        <v>0.01</v>
      </c>
      <c r="AS49">
        <f t="shared" si="23"/>
        <v>5.64734E-2</v>
      </c>
      <c r="AT49">
        <f t="shared" si="24"/>
        <v>0.11588127861537596</v>
      </c>
      <c r="AU49" s="20">
        <f t="shared" si="11"/>
        <v>340</v>
      </c>
      <c r="AV49">
        <f>O49</f>
        <v>45178.719999999994</v>
      </c>
      <c r="AW49" s="19">
        <f>VLOOKUP(AU49,'Hazard Weighting Functions'!$B$5:$G$1205,3,FALSE)</f>
        <v>0.01</v>
      </c>
      <c r="AX49">
        <f t="shared" si="25"/>
        <v>451.78719999999993</v>
      </c>
      <c r="AY49" s="19">
        <f t="shared" si="26"/>
        <v>927.05022892300758</v>
      </c>
      <c r="AZ49" s="20">
        <f t="shared" si="2"/>
        <v>340</v>
      </c>
      <c r="BA49" s="20">
        <f t="shared" si="3"/>
        <v>45178.720000000001</v>
      </c>
      <c r="BB49" s="19">
        <f>VLOOKUP(AZ49,'Hazard Weighting Functions'!$B$5:$G$1205,3,FALSE)</f>
        <v>0.01</v>
      </c>
      <c r="BC49">
        <f t="shared" si="27"/>
        <v>451.78720000000004</v>
      </c>
      <c r="BD49" s="19">
        <f t="shared" si="28"/>
        <v>927.05022890000009</v>
      </c>
      <c r="BF49" s="20">
        <f t="shared" ref="BF49:BG49" si="56">H139</f>
        <v>450</v>
      </c>
      <c r="BG49" s="20">
        <f t="shared" si="56"/>
        <v>35.493499999999997</v>
      </c>
      <c r="BH49" s="19">
        <f>VLOOKUP(BF49,'Hazard Weighting Functions'!$B$5:$G$1205,4,FALSE)</f>
        <v>9.4</v>
      </c>
      <c r="BI49" s="19">
        <f t="shared" si="30"/>
        <v>333.63889999999998</v>
      </c>
      <c r="BJ49" s="19">
        <f t="shared" si="31"/>
        <v>1678.1734999999999</v>
      </c>
      <c r="BK49" s="1">
        <f t="shared" si="7"/>
        <v>340</v>
      </c>
      <c r="BL49" s="20">
        <f t="shared" si="8"/>
        <v>45178.719999999994</v>
      </c>
      <c r="BM49">
        <f>VLOOKUP(BK49,'Hazard Weighting Functions'!$B$5:$G$1205,4,FALSE)</f>
        <v>0</v>
      </c>
      <c r="BN49">
        <f t="shared" si="32"/>
        <v>0</v>
      </c>
      <c r="BO49" s="19">
        <f t="shared" si="33"/>
        <v>0</v>
      </c>
      <c r="BP49" s="20">
        <f t="shared" si="9"/>
        <v>340</v>
      </c>
      <c r="BQ49" s="20">
        <f t="shared" si="10"/>
        <v>45178.720000000001</v>
      </c>
      <c r="BR49" s="19">
        <f>VLOOKUP(BP49,'Hazard Weighting Functions'!$B$5:$G$1205,4,FALSE)</f>
        <v>0</v>
      </c>
      <c r="BS49" s="19">
        <f t="shared" si="34"/>
        <v>0</v>
      </c>
      <c r="BT49" s="19">
        <f t="shared" si="35"/>
        <v>0</v>
      </c>
      <c r="BV49">
        <f>VLOOKUP(BK49,'Hazard Weighting Functions'!$B$5:$G$1205,5,FALSE)</f>
        <v>0</v>
      </c>
      <c r="BW49" s="24">
        <f t="shared" si="36"/>
        <v>0</v>
      </c>
      <c r="BX49" s="24">
        <f t="shared" si="37"/>
        <v>0</v>
      </c>
    </row>
    <row r="50" spans="2:76">
      <c r="B50">
        <v>242</v>
      </c>
      <c r="C50" s="36">
        <v>0.12105439925956446</v>
      </c>
      <c r="E50">
        <v>242</v>
      </c>
      <c r="F50" s="36">
        <v>0.12105439925956446</v>
      </c>
      <c r="H50" s="19">
        <v>242</v>
      </c>
      <c r="I50" s="36">
        <v>0.12105439925956446</v>
      </c>
      <c r="K50">
        <v>1105</v>
      </c>
      <c r="L50" s="36">
        <f>1602.12792*(1628/1602)</f>
        <v>1628.1299961048692</v>
      </c>
      <c r="N50">
        <v>342</v>
      </c>
      <c r="O50" s="36">
        <v>47526.302892300766</v>
      </c>
      <c r="Q50" s="19">
        <v>342</v>
      </c>
      <c r="R50" s="36">
        <v>47526.302889999999</v>
      </c>
      <c r="V50">
        <f t="shared" si="12"/>
        <v>242</v>
      </c>
      <c r="W50">
        <f t="shared" si="13"/>
        <v>0.12105439925956446</v>
      </c>
      <c r="Y50">
        <f t="shared" si="14"/>
        <v>242</v>
      </c>
      <c r="Z50">
        <f t="shared" si="15"/>
        <v>0.12105439925956446</v>
      </c>
      <c r="AA50">
        <f>VLOOKUP(Y50,'Hazard Weighting Functions'!$B$5:$G$1205,2,FALSE)</f>
        <v>0.32269999999999999</v>
      </c>
      <c r="AB50">
        <f t="shared" si="16"/>
        <v>3.9064254641061447E-2</v>
      </c>
      <c r="AC50">
        <f t="shared" si="17"/>
        <v>8.6222007249901131E-2</v>
      </c>
      <c r="AE50">
        <f>VLOOKUP(Y50,'Hazard Weighting Functions'!$B$5:$G$1205,3,FALSE)</f>
        <v>0</v>
      </c>
      <c r="AF50">
        <f t="shared" si="18"/>
        <v>0</v>
      </c>
      <c r="AG50">
        <f t="shared" si="19"/>
        <v>0</v>
      </c>
      <c r="AH50">
        <f>VLOOKUP(Y50,'Hazard Weighting Functions'!$B$5:$G$1205,5,FALSE)</f>
        <v>0</v>
      </c>
      <c r="AI50">
        <f t="shared" si="20"/>
        <v>0</v>
      </c>
      <c r="AJ50">
        <f t="shared" si="21"/>
        <v>0</v>
      </c>
      <c r="AP50" s="20">
        <f>'IEC_EN62471- Halogen non-GLS'!E100</f>
        <v>342</v>
      </c>
      <c r="AQ50" s="20">
        <f t="shared" si="22"/>
        <v>5.9407878615375962</v>
      </c>
      <c r="AR50">
        <f>VLOOKUP(AP50,'Hazard Weighting Functions'!$B$5:$G$1205,3,FALSE)</f>
        <v>0.01</v>
      </c>
      <c r="AS50">
        <f t="shared" si="23"/>
        <v>5.9407878615375963E-2</v>
      </c>
      <c r="AT50">
        <f t="shared" si="24"/>
        <v>0.1218101735737967</v>
      </c>
      <c r="AU50" s="20">
        <f t="shared" si="11"/>
        <v>342</v>
      </c>
      <c r="AV50">
        <f>O50</f>
        <v>47526.302892300766</v>
      </c>
      <c r="AW50" s="19">
        <f>VLOOKUP(AU50,'Hazard Weighting Functions'!$B$5:$G$1205,3,FALSE)</f>
        <v>0.01</v>
      </c>
      <c r="AX50">
        <f t="shared" si="25"/>
        <v>475.26302892300765</v>
      </c>
      <c r="AY50" s="19">
        <f t="shared" si="26"/>
        <v>974.4813885903734</v>
      </c>
      <c r="AZ50" s="20">
        <f t="shared" si="2"/>
        <v>342</v>
      </c>
      <c r="BA50" s="20">
        <f t="shared" si="3"/>
        <v>47526.302889999999</v>
      </c>
      <c r="BB50" s="19">
        <f>VLOOKUP(AZ50,'Hazard Weighting Functions'!$B$5:$G$1205,3,FALSE)</f>
        <v>0.01</v>
      </c>
      <c r="BC50">
        <f t="shared" si="27"/>
        <v>475.26302889999999</v>
      </c>
      <c r="BD50" s="19">
        <f t="shared" si="28"/>
        <v>974.48138859999995</v>
      </c>
      <c r="BF50" s="20">
        <f t="shared" ref="BF50:BG50" si="57">H140</f>
        <v>455</v>
      </c>
      <c r="BG50" s="20">
        <f t="shared" si="57"/>
        <v>37.514499999999998</v>
      </c>
      <c r="BH50" s="19">
        <f>VLOOKUP(BF50,'Hazard Weighting Functions'!$B$5:$G$1205,4,FALSE)</f>
        <v>9</v>
      </c>
      <c r="BI50" s="19">
        <f t="shared" si="30"/>
        <v>337.63049999999998</v>
      </c>
      <c r="BJ50" s="19">
        <f t="shared" si="31"/>
        <v>1636.5022499999998</v>
      </c>
      <c r="BK50" s="1">
        <f t="shared" si="7"/>
        <v>342</v>
      </c>
      <c r="BL50" s="20">
        <f t="shared" si="8"/>
        <v>47526.302892300766</v>
      </c>
      <c r="BM50">
        <f>VLOOKUP(BK50,'Hazard Weighting Functions'!$B$5:$G$1205,4,FALSE)</f>
        <v>0</v>
      </c>
      <c r="BN50">
        <f t="shared" si="32"/>
        <v>0</v>
      </c>
      <c r="BO50" s="19">
        <f t="shared" si="33"/>
        <v>0</v>
      </c>
      <c r="BP50" s="20">
        <f t="shared" si="9"/>
        <v>342</v>
      </c>
      <c r="BQ50" s="20">
        <f t="shared" si="10"/>
        <v>47526.302889999999</v>
      </c>
      <c r="BR50" s="19">
        <f>VLOOKUP(BP50,'Hazard Weighting Functions'!$B$5:$G$1205,4,FALSE)</f>
        <v>0</v>
      </c>
      <c r="BS50" s="19">
        <f t="shared" si="34"/>
        <v>0</v>
      </c>
      <c r="BT50" s="19">
        <f t="shared" si="35"/>
        <v>0</v>
      </c>
      <c r="BV50">
        <f>VLOOKUP(BK50,'Hazard Weighting Functions'!$B$5:$G$1205,5,FALSE)</f>
        <v>0</v>
      </c>
      <c r="BW50" s="24">
        <f t="shared" si="36"/>
        <v>0</v>
      </c>
      <c r="BX50" s="24">
        <f t="shared" si="37"/>
        <v>0</v>
      </c>
    </row>
    <row r="51" spans="2:76">
      <c r="B51">
        <v>244</v>
      </c>
      <c r="C51" s="36">
        <v>0.13586215099060697</v>
      </c>
      <c r="E51">
        <v>244</v>
      </c>
      <c r="F51" s="36">
        <v>0.13586215099060697</v>
      </c>
      <c r="H51" s="19">
        <v>244</v>
      </c>
      <c r="I51" s="36">
        <v>0.13586215099060697</v>
      </c>
      <c r="K51">
        <v>1110</v>
      </c>
      <c r="L51" s="36">
        <f>1593.74784*(1628/1602)</f>
        <v>1619.6139098127344</v>
      </c>
      <c r="N51">
        <v>344</v>
      </c>
      <c r="O51" s="36">
        <v>49921.835966736573</v>
      </c>
      <c r="Q51" s="19">
        <v>344</v>
      </c>
      <c r="R51" s="36">
        <v>49921.83597</v>
      </c>
      <c r="T51">
        <f>AVERAGE(T29:T49)</f>
        <v>12.559631222070566</v>
      </c>
      <c r="V51">
        <f t="shared" si="12"/>
        <v>244</v>
      </c>
      <c r="W51">
        <f t="shared" si="13"/>
        <v>0.13586215099060697</v>
      </c>
      <c r="Y51">
        <f t="shared" si="14"/>
        <v>244</v>
      </c>
      <c r="Z51">
        <f t="shared" si="15"/>
        <v>0.13586215099060697</v>
      </c>
      <c r="AA51">
        <f>VLOOKUP(Y51,'Hazard Weighting Functions'!$B$5:$G$1205,2,FALSE)</f>
        <v>0.34710000000000002</v>
      </c>
      <c r="AB51">
        <f t="shared" si="16"/>
        <v>4.7157752608839684E-2</v>
      </c>
      <c r="AC51">
        <f t="shared" si="17"/>
        <v>0.10393230298920308</v>
      </c>
      <c r="AE51">
        <f>VLOOKUP(Y51,'Hazard Weighting Functions'!$B$5:$G$1205,3,FALSE)</f>
        <v>0</v>
      </c>
      <c r="AF51">
        <f t="shared" si="18"/>
        <v>0</v>
      </c>
      <c r="AG51">
        <f t="shared" si="19"/>
        <v>0</v>
      </c>
      <c r="AH51">
        <f>VLOOKUP(Y51,'Hazard Weighting Functions'!$B$5:$G$1205,5,FALSE)</f>
        <v>0</v>
      </c>
      <c r="AI51">
        <f t="shared" si="20"/>
        <v>0</v>
      </c>
      <c r="AJ51">
        <f t="shared" si="21"/>
        <v>0</v>
      </c>
      <c r="AP51" s="20">
        <f>'IEC_EN62471- Halogen non-GLS'!E101</f>
        <v>344</v>
      </c>
      <c r="AQ51" s="20">
        <f t="shared" si="22"/>
        <v>6.2402294958420725</v>
      </c>
      <c r="AR51">
        <f>VLOOKUP(AP51,'Hazard Weighting Functions'!$B$5:$G$1205,3,FALSE)</f>
        <v>0.01</v>
      </c>
      <c r="AS51">
        <f t="shared" si="23"/>
        <v>6.2402294958420729E-2</v>
      </c>
      <c r="AT51">
        <f t="shared" si="24"/>
        <v>0.12776825735882769</v>
      </c>
      <c r="AU51" s="20">
        <f t="shared" si="11"/>
        <v>344</v>
      </c>
      <c r="AV51">
        <f>O51</f>
        <v>49921.835966736573</v>
      </c>
      <c r="AW51" s="19">
        <f>VLOOKUP(AU51,'Hazard Weighting Functions'!$B$5:$G$1205,3,FALSE)</f>
        <v>0.01</v>
      </c>
      <c r="AX51">
        <f t="shared" si="25"/>
        <v>499.21835966736575</v>
      </c>
      <c r="AY51" s="19">
        <f t="shared" si="26"/>
        <v>1022.1460588706213</v>
      </c>
      <c r="AZ51" s="20">
        <f t="shared" si="2"/>
        <v>344</v>
      </c>
      <c r="BA51" s="20">
        <f t="shared" si="3"/>
        <v>49921.83597</v>
      </c>
      <c r="BB51" s="19">
        <f>VLOOKUP(AZ51,'Hazard Weighting Functions'!$B$5:$G$1205,3,FALSE)</f>
        <v>0.01</v>
      </c>
      <c r="BC51">
        <f t="shared" si="27"/>
        <v>499.21835970000001</v>
      </c>
      <c r="BD51" s="19">
        <f t="shared" si="28"/>
        <v>1022.1460589000001</v>
      </c>
      <c r="BF51" s="20">
        <f t="shared" ref="BF51:BG51" si="58">H141</f>
        <v>460</v>
      </c>
      <c r="BG51" s="20">
        <f t="shared" si="58"/>
        <v>39.621299999999998</v>
      </c>
      <c r="BH51" s="19">
        <f>VLOOKUP(BF51,'Hazard Weighting Functions'!$B$5:$G$1205,4,FALSE)</f>
        <v>8</v>
      </c>
      <c r="BI51" s="19">
        <f t="shared" si="30"/>
        <v>316.97039999999998</v>
      </c>
      <c r="BJ51" s="19">
        <f t="shared" si="31"/>
        <v>1522.24425</v>
      </c>
      <c r="BK51" s="1">
        <f t="shared" si="7"/>
        <v>344</v>
      </c>
      <c r="BL51" s="20">
        <f t="shared" si="8"/>
        <v>49921.835966736573</v>
      </c>
      <c r="BM51">
        <f>VLOOKUP(BK51,'Hazard Weighting Functions'!$B$5:$G$1205,4,FALSE)</f>
        <v>0</v>
      </c>
      <c r="BN51">
        <f t="shared" si="32"/>
        <v>0</v>
      </c>
      <c r="BO51" s="19">
        <f t="shared" si="33"/>
        <v>0</v>
      </c>
      <c r="BP51" s="20">
        <f t="shared" si="9"/>
        <v>344</v>
      </c>
      <c r="BQ51" s="20">
        <f t="shared" si="10"/>
        <v>49921.83597</v>
      </c>
      <c r="BR51" s="19">
        <f>VLOOKUP(BP51,'Hazard Weighting Functions'!$B$5:$G$1205,4,FALSE)</f>
        <v>0</v>
      </c>
      <c r="BS51" s="19">
        <f t="shared" si="34"/>
        <v>0</v>
      </c>
      <c r="BT51" s="19">
        <f t="shared" si="35"/>
        <v>0</v>
      </c>
      <c r="BV51">
        <f>VLOOKUP(BK51,'Hazard Weighting Functions'!$B$5:$G$1205,5,FALSE)</f>
        <v>0</v>
      </c>
      <c r="BW51" s="24">
        <f t="shared" si="36"/>
        <v>0</v>
      </c>
      <c r="BX51" s="24">
        <f t="shared" si="37"/>
        <v>0</v>
      </c>
    </row>
    <row r="52" spans="2:76">
      <c r="B52">
        <v>246</v>
      </c>
      <c r="C52" s="36">
        <v>0.15221059083207347</v>
      </c>
      <c r="E52">
        <v>246</v>
      </c>
      <c r="F52" s="36">
        <v>0.15221059083207347</v>
      </c>
      <c r="H52" s="19">
        <v>246</v>
      </c>
      <c r="I52" s="36">
        <v>0.15221059083207347</v>
      </c>
      <c r="K52">
        <v>1115</v>
      </c>
      <c r="L52" s="36">
        <f>1585.31832*(1628/1602)</f>
        <v>1611.0475811235958</v>
      </c>
      <c r="N52">
        <v>346</v>
      </c>
      <c r="O52" s="36">
        <v>52292.769920325554</v>
      </c>
      <c r="Q52" s="19">
        <v>346</v>
      </c>
      <c r="R52" s="36">
        <v>52292.769919999999</v>
      </c>
      <c r="V52">
        <f t="shared" si="12"/>
        <v>246</v>
      </c>
      <c r="W52">
        <f t="shared" si="13"/>
        <v>0.15221059083207347</v>
      </c>
      <c r="Y52">
        <f t="shared" si="14"/>
        <v>246</v>
      </c>
      <c r="Z52">
        <f t="shared" si="15"/>
        <v>0.15221059083207347</v>
      </c>
      <c r="AA52">
        <f>VLOOKUP(Y52,'Hazard Weighting Functions'!$B$5:$G$1205,2,FALSE)</f>
        <v>0.373</v>
      </c>
      <c r="AB52">
        <f t="shared" si="16"/>
        <v>5.6774550380363407E-2</v>
      </c>
      <c r="AC52">
        <f t="shared" si="17"/>
        <v>0.12510669049683365</v>
      </c>
      <c r="AE52">
        <f>VLOOKUP(Y52,'Hazard Weighting Functions'!$B$5:$G$1205,3,FALSE)</f>
        <v>0</v>
      </c>
      <c r="AF52">
        <f t="shared" si="18"/>
        <v>0</v>
      </c>
      <c r="AG52">
        <f t="shared" si="19"/>
        <v>0</v>
      </c>
      <c r="AH52">
        <f>VLOOKUP(Y52,'Hazard Weighting Functions'!$B$5:$G$1205,5,FALSE)</f>
        <v>0</v>
      </c>
      <c r="AI52">
        <f t="shared" si="20"/>
        <v>0</v>
      </c>
      <c r="AJ52">
        <f t="shared" si="21"/>
        <v>0</v>
      </c>
      <c r="AP52" s="20">
        <f>'IEC_EN62471- Halogen non-GLS'!E102</f>
        <v>346</v>
      </c>
      <c r="AQ52" s="20">
        <f t="shared" si="22"/>
        <v>6.5365962400406943</v>
      </c>
      <c r="AR52">
        <f>VLOOKUP(AP52,'Hazard Weighting Functions'!$B$5:$G$1205,3,FALSE)</f>
        <v>0.01</v>
      </c>
      <c r="AS52">
        <f t="shared" si="23"/>
        <v>6.5365962400406943E-2</v>
      </c>
      <c r="AT52">
        <f t="shared" si="24"/>
        <v>0.13367279589975534</v>
      </c>
      <c r="AU52" s="20">
        <f t="shared" si="11"/>
        <v>346</v>
      </c>
      <c r="AV52">
        <f>O52</f>
        <v>52292.769920325554</v>
      </c>
      <c r="AW52" s="19">
        <f>VLOOKUP(AU52,'Hazard Weighting Functions'!$B$5:$G$1205,3,FALSE)</f>
        <v>0.01</v>
      </c>
      <c r="AX52">
        <f t="shared" si="25"/>
        <v>522.92769920325554</v>
      </c>
      <c r="AY52" s="19">
        <f t="shared" si="26"/>
        <v>1069.3823671980426</v>
      </c>
      <c r="AZ52" s="20">
        <f t="shared" si="2"/>
        <v>346</v>
      </c>
      <c r="BA52" s="20">
        <f t="shared" si="3"/>
        <v>52292.769919999999</v>
      </c>
      <c r="BB52" s="19">
        <f>VLOOKUP(AZ52,'Hazard Weighting Functions'!$B$5:$G$1205,3,FALSE)</f>
        <v>0.01</v>
      </c>
      <c r="BC52">
        <f t="shared" si="27"/>
        <v>522.92769920000001</v>
      </c>
      <c r="BD52" s="19">
        <f t="shared" si="28"/>
        <v>1069.3823672000001</v>
      </c>
      <c r="BF52" s="20">
        <f t="shared" ref="BF52:BG52" si="59">H142</f>
        <v>465</v>
      </c>
      <c r="BG52" s="20">
        <f t="shared" si="59"/>
        <v>41.703899999999997</v>
      </c>
      <c r="BH52" s="19">
        <f>VLOOKUP(BF52,'Hazard Weighting Functions'!$B$5:$G$1205,4,FALSE)</f>
        <v>7</v>
      </c>
      <c r="BI52" s="19">
        <f t="shared" si="30"/>
        <v>291.9273</v>
      </c>
      <c r="BJ52" s="19">
        <f t="shared" si="31"/>
        <v>1409.3274000000001</v>
      </c>
      <c r="BK52" s="1">
        <f t="shared" si="7"/>
        <v>346</v>
      </c>
      <c r="BL52" s="20">
        <f t="shared" si="8"/>
        <v>52292.769920325554</v>
      </c>
      <c r="BM52">
        <f>VLOOKUP(BK52,'Hazard Weighting Functions'!$B$5:$G$1205,4,FALSE)</f>
        <v>0</v>
      </c>
      <c r="BN52">
        <f t="shared" si="32"/>
        <v>0</v>
      </c>
      <c r="BO52" s="19">
        <f t="shared" si="33"/>
        <v>0</v>
      </c>
      <c r="BP52" s="20">
        <f t="shared" si="9"/>
        <v>346</v>
      </c>
      <c r="BQ52" s="20">
        <f t="shared" si="10"/>
        <v>52292.769919999999</v>
      </c>
      <c r="BR52" s="19">
        <f>VLOOKUP(BP52,'Hazard Weighting Functions'!$B$5:$G$1205,4,FALSE)</f>
        <v>0</v>
      </c>
      <c r="BS52" s="19">
        <f t="shared" si="34"/>
        <v>0</v>
      </c>
      <c r="BT52" s="19">
        <f t="shared" si="35"/>
        <v>0</v>
      </c>
      <c r="BV52">
        <f>VLOOKUP(BK52,'Hazard Weighting Functions'!$B$5:$G$1205,5,FALSE)</f>
        <v>0</v>
      </c>
      <c r="BW52" s="24">
        <f t="shared" si="36"/>
        <v>0</v>
      </c>
      <c r="BX52" s="24">
        <f t="shared" si="37"/>
        <v>0</v>
      </c>
    </row>
    <row r="53" spans="2:76">
      <c r="B53">
        <v>248</v>
      </c>
      <c r="C53" s="36">
        <v>0.1706170789424975</v>
      </c>
      <c r="E53">
        <v>248</v>
      </c>
      <c r="F53" s="36">
        <v>0.1706170789424975</v>
      </c>
      <c r="H53" s="19">
        <v>248</v>
      </c>
      <c r="I53" s="36">
        <v>0.1706170789424975</v>
      </c>
      <c r="K53">
        <v>1120</v>
      </c>
      <c r="L53" s="36">
        <f>1576.827*(1628/1602)</f>
        <v>1602.4184494382021</v>
      </c>
      <c r="N53">
        <v>348</v>
      </c>
      <c r="O53" s="36">
        <v>54645.466799478723</v>
      </c>
      <c r="Q53" s="19">
        <v>348</v>
      </c>
      <c r="R53" s="36">
        <v>54645.466800000002</v>
      </c>
      <c r="V53">
        <f t="shared" si="12"/>
        <v>248</v>
      </c>
      <c r="W53">
        <f t="shared" si="13"/>
        <v>0.1706170789424975</v>
      </c>
      <c r="Y53">
        <f t="shared" si="14"/>
        <v>248</v>
      </c>
      <c r="Z53">
        <f t="shared" si="15"/>
        <v>0.1706170789424975</v>
      </c>
      <c r="AA53">
        <f>VLOOKUP(Y53,'Hazard Weighting Functions'!$B$5:$G$1205,2,FALSE)</f>
        <v>0.40050000000000002</v>
      </c>
      <c r="AB53">
        <f t="shared" si="16"/>
        <v>6.833214011647025E-2</v>
      </c>
      <c r="AC53">
        <f t="shared" si="17"/>
        <v>0.15075970011647025</v>
      </c>
      <c r="AE53">
        <f>VLOOKUP(Y53,'Hazard Weighting Functions'!$B$5:$G$1205,3,FALSE)</f>
        <v>0</v>
      </c>
      <c r="AF53">
        <f t="shared" si="18"/>
        <v>0</v>
      </c>
      <c r="AG53">
        <f t="shared" si="19"/>
        <v>0</v>
      </c>
      <c r="AH53">
        <f>VLOOKUP(Y53,'Hazard Weighting Functions'!$B$5:$G$1205,5,FALSE)</f>
        <v>0</v>
      </c>
      <c r="AI53">
        <f t="shared" si="20"/>
        <v>0</v>
      </c>
      <c r="AJ53">
        <f t="shared" si="21"/>
        <v>0</v>
      </c>
      <c r="AP53" s="20">
        <f>'IEC_EN62471- Halogen non-GLS'!E103</f>
        <v>348</v>
      </c>
      <c r="AQ53" s="20">
        <f t="shared" si="22"/>
        <v>6.8306833499348407</v>
      </c>
      <c r="AR53">
        <f>VLOOKUP(AP53,'Hazard Weighting Functions'!$B$5:$G$1205,3,FALSE)</f>
        <v>0.01</v>
      </c>
      <c r="AS53">
        <f t="shared" si="23"/>
        <v>6.8306833499348407E-2</v>
      </c>
      <c r="AT53">
        <f t="shared" si="24"/>
        <v>0.1396383334993484</v>
      </c>
      <c r="AU53" s="20">
        <f t="shared" si="11"/>
        <v>348</v>
      </c>
      <c r="AV53">
        <f>O53</f>
        <v>54645.466799478723</v>
      </c>
      <c r="AW53" s="19">
        <f>VLOOKUP(AU53,'Hazard Weighting Functions'!$B$5:$G$1205,3,FALSE)</f>
        <v>0.01</v>
      </c>
      <c r="AX53">
        <f t="shared" si="25"/>
        <v>546.4546679947872</v>
      </c>
      <c r="AY53" s="19">
        <f t="shared" si="26"/>
        <v>1117.1066679947871</v>
      </c>
      <c r="AZ53" s="20">
        <f t="shared" si="2"/>
        <v>348</v>
      </c>
      <c r="BA53" s="20">
        <f t="shared" si="3"/>
        <v>54645.466800000002</v>
      </c>
      <c r="BB53" s="19">
        <f>VLOOKUP(AZ53,'Hazard Weighting Functions'!$B$5:$G$1205,3,FALSE)</f>
        <v>0.01</v>
      </c>
      <c r="BC53">
        <f t="shared" si="27"/>
        <v>546.45466800000008</v>
      </c>
      <c r="BD53" s="19">
        <f t="shared" si="28"/>
        <v>1117.1066679999999</v>
      </c>
      <c r="BF53" s="20">
        <f t="shared" ref="BF53:BG53" si="60">H143</f>
        <v>470</v>
      </c>
      <c r="BG53" s="20">
        <f t="shared" si="60"/>
        <v>43.839300000000001</v>
      </c>
      <c r="BH53" s="19">
        <f>VLOOKUP(BF53,'Hazard Weighting Functions'!$B$5:$G$1205,4,FALSE)</f>
        <v>6.2</v>
      </c>
      <c r="BI53" s="19">
        <f t="shared" si="30"/>
        <v>271.80366000000004</v>
      </c>
      <c r="BJ53" s="19">
        <f t="shared" si="31"/>
        <v>1311.699775</v>
      </c>
      <c r="BK53" s="1">
        <f t="shared" si="7"/>
        <v>348</v>
      </c>
      <c r="BL53" s="20">
        <f t="shared" si="8"/>
        <v>54645.466799478723</v>
      </c>
      <c r="BM53">
        <f>VLOOKUP(BK53,'Hazard Weighting Functions'!$B$5:$G$1205,4,FALSE)</f>
        <v>0</v>
      </c>
      <c r="BN53">
        <f t="shared" si="32"/>
        <v>0</v>
      </c>
      <c r="BO53" s="19">
        <f t="shared" si="33"/>
        <v>0</v>
      </c>
      <c r="BP53" s="20">
        <f t="shared" si="9"/>
        <v>348</v>
      </c>
      <c r="BQ53" s="20">
        <f t="shared" si="10"/>
        <v>54645.466800000002</v>
      </c>
      <c r="BR53" s="19">
        <f>VLOOKUP(BP53,'Hazard Weighting Functions'!$B$5:$G$1205,4,FALSE)</f>
        <v>0</v>
      </c>
      <c r="BS53" s="19">
        <f t="shared" si="34"/>
        <v>0</v>
      </c>
      <c r="BT53" s="19">
        <f t="shared" si="35"/>
        <v>0</v>
      </c>
      <c r="BV53">
        <f>VLOOKUP(BK53,'Hazard Weighting Functions'!$B$5:$G$1205,5,FALSE)</f>
        <v>0</v>
      </c>
      <c r="BW53" s="24">
        <f t="shared" si="36"/>
        <v>0</v>
      </c>
      <c r="BX53" s="24">
        <f t="shared" si="37"/>
        <v>0</v>
      </c>
    </row>
    <row r="54" spans="2:76">
      <c r="B54">
        <v>250</v>
      </c>
      <c r="C54" s="36">
        <v>0.191692</v>
      </c>
      <c r="E54">
        <v>250</v>
      </c>
      <c r="F54" s="36">
        <v>0.191692</v>
      </c>
      <c r="H54" s="19">
        <v>250</v>
      </c>
      <c r="I54" s="36">
        <v>0.191692</v>
      </c>
      <c r="K54">
        <v>1125</v>
      </c>
      <c r="L54" s="36">
        <f>1568.27388*(1628/1602)</f>
        <v>1593.7265147565543</v>
      </c>
      <c r="N54">
        <v>350</v>
      </c>
      <c r="O54" s="36">
        <v>57065.2</v>
      </c>
      <c r="Q54" s="19">
        <v>350</v>
      </c>
      <c r="R54" s="36">
        <v>57065.2</v>
      </c>
      <c r="V54">
        <f t="shared" si="12"/>
        <v>250</v>
      </c>
      <c r="W54">
        <f t="shared" si="13"/>
        <v>0.191692</v>
      </c>
      <c r="Y54">
        <f t="shared" si="14"/>
        <v>250</v>
      </c>
      <c r="Z54">
        <f t="shared" si="15"/>
        <v>0.191692</v>
      </c>
      <c r="AA54">
        <f>VLOOKUP(Y54,'Hazard Weighting Functions'!$B$5:$G$1205,2,FALSE)</f>
        <v>0.43</v>
      </c>
      <c r="AB54">
        <f t="shared" si="16"/>
        <v>8.2427559999999997E-2</v>
      </c>
      <c r="AC54">
        <f t="shared" si="17"/>
        <v>0.18252259799757037</v>
      </c>
      <c r="AE54">
        <f>VLOOKUP(Y54,'Hazard Weighting Functions'!$B$5:$G$1205,3,FALSE)</f>
        <v>0</v>
      </c>
      <c r="AF54">
        <f t="shared" si="18"/>
        <v>0</v>
      </c>
      <c r="AG54">
        <f t="shared" si="19"/>
        <v>0</v>
      </c>
      <c r="AH54">
        <f>VLOOKUP(Y54,'Hazard Weighting Functions'!$B$5:$G$1205,5,FALSE)</f>
        <v>0</v>
      </c>
      <c r="AI54">
        <f t="shared" si="20"/>
        <v>0</v>
      </c>
      <c r="AJ54">
        <f t="shared" si="21"/>
        <v>0</v>
      </c>
      <c r="AP54" s="20">
        <f>'IEC_EN62471- Halogen non-GLS'!E104</f>
        <v>350</v>
      </c>
      <c r="AQ54" s="20">
        <f t="shared" si="22"/>
        <v>7.1331499999999997</v>
      </c>
      <c r="AR54">
        <f>VLOOKUP(AP54,'Hazard Weighting Functions'!$B$5:$G$1205,3,FALSE)</f>
        <v>0.01</v>
      </c>
      <c r="AS54">
        <f t="shared" si="23"/>
        <v>7.1331499999999992E-2</v>
      </c>
      <c r="AT54">
        <f t="shared" si="24"/>
        <v>0.14586343518470646</v>
      </c>
      <c r="AU54" s="20">
        <f t="shared" si="11"/>
        <v>350</v>
      </c>
      <c r="AV54">
        <f>O54</f>
        <v>57065.2</v>
      </c>
      <c r="AW54" s="19">
        <f>VLOOKUP(AU54,'Hazard Weighting Functions'!$B$5:$G$1205,3,FALSE)</f>
        <v>0.01</v>
      </c>
      <c r="AX54">
        <f t="shared" si="25"/>
        <v>570.65199999999993</v>
      </c>
      <c r="AY54" s="19">
        <f t="shared" si="26"/>
        <v>1166.9074814776513</v>
      </c>
      <c r="AZ54" s="20">
        <f t="shared" si="2"/>
        <v>350</v>
      </c>
      <c r="BA54" s="20">
        <f t="shared" si="3"/>
        <v>57065.2</v>
      </c>
      <c r="BB54" s="19">
        <f>VLOOKUP(AZ54,'Hazard Weighting Functions'!$B$5:$G$1205,3,FALSE)</f>
        <v>0.01</v>
      </c>
      <c r="BC54">
        <f t="shared" si="27"/>
        <v>570.65199999999993</v>
      </c>
      <c r="BD54" s="19">
        <f t="shared" si="28"/>
        <v>1166.9074814999999</v>
      </c>
      <c r="BF54" s="20">
        <f t="shared" ref="BF54:BG54" si="61">H144</f>
        <v>475</v>
      </c>
      <c r="BG54" s="20">
        <f t="shared" si="61"/>
        <v>45.977499999999999</v>
      </c>
      <c r="BH54" s="19">
        <f>VLOOKUP(BF54,'Hazard Weighting Functions'!$B$5:$G$1205,4,FALSE)</f>
        <v>5.5</v>
      </c>
      <c r="BI54" s="19">
        <f t="shared" si="30"/>
        <v>252.87625</v>
      </c>
      <c r="BJ54" s="19">
        <f t="shared" si="31"/>
        <v>1173.513625</v>
      </c>
      <c r="BK54" s="1">
        <f t="shared" si="7"/>
        <v>350</v>
      </c>
      <c r="BL54" s="20">
        <f t="shared" si="8"/>
        <v>57065.2</v>
      </c>
      <c r="BM54">
        <f>VLOOKUP(BK54,'Hazard Weighting Functions'!$B$5:$G$1205,4,FALSE)</f>
        <v>0</v>
      </c>
      <c r="BN54">
        <f t="shared" si="32"/>
        <v>0</v>
      </c>
      <c r="BO54" s="19">
        <f t="shared" si="33"/>
        <v>0</v>
      </c>
      <c r="BP54" s="20">
        <f t="shared" si="9"/>
        <v>350</v>
      </c>
      <c r="BQ54" s="20">
        <f t="shared" si="10"/>
        <v>57065.2</v>
      </c>
      <c r="BR54" s="19">
        <f>VLOOKUP(BP54,'Hazard Weighting Functions'!$B$5:$G$1205,4,FALSE)</f>
        <v>0</v>
      </c>
      <c r="BS54" s="19">
        <f t="shared" si="34"/>
        <v>0</v>
      </c>
      <c r="BT54" s="19">
        <f t="shared" si="35"/>
        <v>0</v>
      </c>
      <c r="BV54">
        <f>VLOOKUP(BK54,'Hazard Weighting Functions'!$B$5:$G$1205,5,FALSE)</f>
        <v>0</v>
      </c>
      <c r="BW54" s="24">
        <f t="shared" si="36"/>
        <v>0</v>
      </c>
      <c r="BX54" s="24">
        <f t="shared" si="37"/>
        <v>0</v>
      </c>
    </row>
    <row r="55" spans="2:76">
      <c r="B55">
        <v>252</v>
      </c>
      <c r="C55" s="36">
        <v>0.21586163035922015</v>
      </c>
      <c r="E55">
        <v>252</v>
      </c>
      <c r="F55" s="36">
        <v>0.21586163035922015</v>
      </c>
      <c r="H55" s="19">
        <v>252</v>
      </c>
      <c r="I55" s="36">
        <v>0.21586163035922015</v>
      </c>
      <c r="K55">
        <v>1130</v>
      </c>
      <c r="L55" s="36">
        <f>1559.67132*(1628/1602)</f>
        <v>1584.9843376779027</v>
      </c>
      <c r="N55">
        <v>352</v>
      </c>
      <c r="O55" s="36">
        <v>59625.548147765156</v>
      </c>
      <c r="Q55" s="19">
        <v>352</v>
      </c>
      <c r="R55" s="36">
        <v>59625.548150000002</v>
      </c>
      <c r="V55">
        <f t="shared" si="12"/>
        <v>252</v>
      </c>
      <c r="W55">
        <f t="shared" si="13"/>
        <v>0.21586163035922015</v>
      </c>
      <c r="Y55">
        <f t="shared" si="14"/>
        <v>252</v>
      </c>
      <c r="Z55">
        <f t="shared" si="15"/>
        <v>0.21586163035922015</v>
      </c>
      <c r="AA55">
        <f>VLOOKUP(Y55,'Hazard Weighting Functions'!$B$5:$G$1205,2,FALSE)</f>
        <v>0.4637</v>
      </c>
      <c r="AB55">
        <f t="shared" si="16"/>
        <v>0.10009503799757039</v>
      </c>
      <c r="AC55">
        <f t="shared" si="17"/>
        <v>0.22149485544934541</v>
      </c>
      <c r="AE55">
        <f>VLOOKUP(Y55,'Hazard Weighting Functions'!$B$5:$G$1205,3,FALSE)</f>
        <v>0</v>
      </c>
      <c r="AF55">
        <f t="shared" si="18"/>
        <v>0</v>
      </c>
      <c r="AG55">
        <f t="shared" si="19"/>
        <v>0</v>
      </c>
      <c r="AH55">
        <f>VLOOKUP(Y55,'Hazard Weighting Functions'!$B$5:$G$1205,5,FALSE)</f>
        <v>0</v>
      </c>
      <c r="AI55">
        <f t="shared" si="20"/>
        <v>0</v>
      </c>
      <c r="AJ55">
        <f t="shared" si="21"/>
        <v>0</v>
      </c>
      <c r="AP55" s="20">
        <f>'IEC_EN62471- Halogen non-GLS'!E105</f>
        <v>352</v>
      </c>
      <c r="AQ55" s="20">
        <f t="shared" si="22"/>
        <v>7.4531935184706448</v>
      </c>
      <c r="AR55">
        <f>VLOOKUP(AP55,'Hazard Weighting Functions'!$B$5:$G$1205,3,FALSE)</f>
        <v>0.01</v>
      </c>
      <c r="AS55">
        <f t="shared" si="23"/>
        <v>7.4531935184706452E-2</v>
      </c>
      <c r="AT55">
        <f t="shared" si="24"/>
        <v>0.152456419029706</v>
      </c>
      <c r="AU55" s="20">
        <f t="shared" si="11"/>
        <v>352</v>
      </c>
      <c r="AV55">
        <f>O55</f>
        <v>59625.548147765156</v>
      </c>
      <c r="AW55" s="19">
        <f>VLOOKUP(AU55,'Hazard Weighting Functions'!$B$5:$G$1205,3,FALSE)</f>
        <v>0.01</v>
      </c>
      <c r="AX55">
        <f t="shared" si="25"/>
        <v>596.25548147765153</v>
      </c>
      <c r="AY55" s="19">
        <f t="shared" si="26"/>
        <v>1219.6513522376481</v>
      </c>
      <c r="AZ55" s="20">
        <f t="shared" si="2"/>
        <v>352</v>
      </c>
      <c r="BA55" s="20">
        <f t="shared" si="3"/>
        <v>59625.548150000002</v>
      </c>
      <c r="BB55" s="19">
        <f>VLOOKUP(AZ55,'Hazard Weighting Functions'!$B$5:$G$1205,3,FALSE)</f>
        <v>0.01</v>
      </c>
      <c r="BC55">
        <f t="shared" si="27"/>
        <v>596.25548150000009</v>
      </c>
      <c r="BD55" s="19">
        <f t="shared" si="28"/>
        <v>1219.6513523000001</v>
      </c>
      <c r="BF55" s="20">
        <f t="shared" ref="BF55:BG55" si="62">H145</f>
        <v>480</v>
      </c>
      <c r="BG55" s="20">
        <f t="shared" si="62"/>
        <v>48.117600000000003</v>
      </c>
      <c r="BH55" s="19">
        <f>VLOOKUP(BF55,'Hazard Weighting Functions'!$B$5:$G$1205,4,FALSE)</f>
        <v>4.5</v>
      </c>
      <c r="BI55" s="19">
        <f t="shared" si="30"/>
        <v>216.5292</v>
      </c>
      <c r="BJ55" s="19">
        <f t="shared" si="31"/>
        <v>1044.1509999999998</v>
      </c>
      <c r="BK55" s="1">
        <f t="shared" si="7"/>
        <v>352</v>
      </c>
      <c r="BL55" s="20">
        <f t="shared" si="8"/>
        <v>59625.548147765156</v>
      </c>
      <c r="BM55">
        <f>VLOOKUP(BK55,'Hazard Weighting Functions'!$B$5:$G$1205,4,FALSE)</f>
        <v>0</v>
      </c>
      <c r="BN55">
        <f t="shared" si="32"/>
        <v>0</v>
      </c>
      <c r="BO55" s="19">
        <f t="shared" si="33"/>
        <v>0</v>
      </c>
      <c r="BP55" s="20">
        <f t="shared" si="9"/>
        <v>352</v>
      </c>
      <c r="BQ55" s="20">
        <f t="shared" si="10"/>
        <v>59625.548150000002</v>
      </c>
      <c r="BR55" s="19">
        <f>VLOOKUP(BP55,'Hazard Weighting Functions'!$B$5:$G$1205,4,FALSE)</f>
        <v>0</v>
      </c>
      <c r="BS55" s="19">
        <f t="shared" si="34"/>
        <v>0</v>
      </c>
      <c r="BT55" s="19">
        <f t="shared" si="35"/>
        <v>0</v>
      </c>
      <c r="BV55">
        <f>VLOOKUP(BK55,'Hazard Weighting Functions'!$B$5:$G$1205,5,FALSE)</f>
        <v>0</v>
      </c>
      <c r="BW55" s="24">
        <f t="shared" si="36"/>
        <v>0</v>
      </c>
      <c r="BX55" s="24">
        <f t="shared" si="37"/>
        <v>0</v>
      </c>
    </row>
    <row r="56" spans="2:76">
      <c r="B56">
        <v>254</v>
      </c>
      <c r="C56" s="36">
        <v>0.24279963490355005</v>
      </c>
      <c r="E56">
        <v>254</v>
      </c>
      <c r="F56" s="36">
        <v>0.24279963490355005</v>
      </c>
      <c r="H56" s="19">
        <v>254</v>
      </c>
      <c r="I56" s="36">
        <v>0.24279963490355005</v>
      </c>
      <c r="K56">
        <v>1135</v>
      </c>
      <c r="L56" s="36">
        <f>1551.03168*(1628/1602)</f>
        <v>1576.204478801498</v>
      </c>
      <c r="N56">
        <v>354</v>
      </c>
      <c r="O56" s="36">
        <v>62339.58707599964</v>
      </c>
      <c r="Q56" s="19">
        <v>354</v>
      </c>
      <c r="R56" s="36">
        <v>62339.587079999998</v>
      </c>
      <c r="V56">
        <f t="shared" si="12"/>
        <v>254</v>
      </c>
      <c r="W56">
        <f t="shared" si="13"/>
        <v>0.24279963490355005</v>
      </c>
      <c r="Y56">
        <f t="shared" si="14"/>
        <v>254</v>
      </c>
      <c r="Z56">
        <f t="shared" si="15"/>
        <v>0.24279963490355005</v>
      </c>
      <c r="AA56">
        <f>VLOOKUP(Y56,'Hazard Weighting Functions'!$B$5:$G$1205,2,FALSE)</f>
        <v>0.5</v>
      </c>
      <c r="AB56">
        <f t="shared" si="16"/>
        <v>0.12139981745177503</v>
      </c>
      <c r="AC56">
        <f t="shared" si="17"/>
        <v>0.26929138343806502</v>
      </c>
      <c r="AE56">
        <f>VLOOKUP(Y56,'Hazard Weighting Functions'!$B$5:$G$1205,3,FALSE)</f>
        <v>0</v>
      </c>
      <c r="AF56">
        <f t="shared" si="18"/>
        <v>0</v>
      </c>
      <c r="AG56">
        <f t="shared" si="19"/>
        <v>0</v>
      </c>
      <c r="AH56">
        <f>VLOOKUP(Y56,'Hazard Weighting Functions'!$B$5:$G$1205,5,FALSE)</f>
        <v>0</v>
      </c>
      <c r="AI56">
        <f t="shared" si="20"/>
        <v>0</v>
      </c>
      <c r="AJ56">
        <f t="shared" si="21"/>
        <v>0</v>
      </c>
      <c r="AP56" s="20">
        <f>'IEC_EN62471- Halogen non-GLS'!E106</f>
        <v>354</v>
      </c>
      <c r="AQ56" s="20">
        <f t="shared" si="22"/>
        <v>7.7924483844999539</v>
      </c>
      <c r="AR56">
        <f>VLOOKUP(AP56,'Hazard Weighting Functions'!$B$5:$G$1205,3,FALSE)</f>
        <v>0.01</v>
      </c>
      <c r="AS56">
        <f t="shared" si="23"/>
        <v>7.7924483844999545E-2</v>
      </c>
      <c r="AT56">
        <f t="shared" si="24"/>
        <v>0.1594293075957659</v>
      </c>
      <c r="AU56" s="20">
        <f t="shared" si="11"/>
        <v>354</v>
      </c>
      <c r="AV56">
        <f>O56</f>
        <v>62339.58707599964</v>
      </c>
      <c r="AW56" s="19">
        <f>VLOOKUP(AU56,'Hazard Weighting Functions'!$B$5:$G$1205,3,FALSE)</f>
        <v>0.01</v>
      </c>
      <c r="AX56">
        <f t="shared" si="25"/>
        <v>623.39587075999646</v>
      </c>
      <c r="AY56" s="19">
        <f t="shared" si="26"/>
        <v>1275.4344607661274</v>
      </c>
      <c r="AZ56" s="20">
        <f t="shared" si="2"/>
        <v>354</v>
      </c>
      <c r="BA56" s="20">
        <f t="shared" si="3"/>
        <v>62339.587079999998</v>
      </c>
      <c r="BB56" s="19">
        <f>VLOOKUP(AZ56,'Hazard Weighting Functions'!$B$5:$G$1205,3,FALSE)</f>
        <v>0.01</v>
      </c>
      <c r="BC56">
        <f t="shared" si="27"/>
        <v>623.39587080000001</v>
      </c>
      <c r="BD56" s="19">
        <f t="shared" si="28"/>
        <v>1275.4344608000001</v>
      </c>
      <c r="BF56" s="20">
        <f t="shared" ref="BF56:BG56" si="63">H146</f>
        <v>485</v>
      </c>
      <c r="BG56" s="20">
        <f t="shared" si="63"/>
        <v>50.282800000000002</v>
      </c>
      <c r="BH56" s="19">
        <f>VLOOKUP(BF56,'Hazard Weighting Functions'!$B$5:$G$1205,4,FALSE)</f>
        <v>4</v>
      </c>
      <c r="BI56" s="19">
        <f t="shared" si="30"/>
        <v>201.13120000000001</v>
      </c>
      <c r="BJ56" s="19">
        <f t="shared" si="31"/>
        <v>792.89085</v>
      </c>
      <c r="BK56" s="1">
        <f t="shared" si="7"/>
        <v>354</v>
      </c>
      <c r="BL56" s="20">
        <f t="shared" si="8"/>
        <v>62339.58707599964</v>
      </c>
      <c r="BM56">
        <f>VLOOKUP(BK56,'Hazard Weighting Functions'!$B$5:$G$1205,4,FALSE)</f>
        <v>0</v>
      </c>
      <c r="BN56">
        <f t="shared" si="32"/>
        <v>0</v>
      </c>
      <c r="BO56" s="19">
        <f t="shared" si="33"/>
        <v>0</v>
      </c>
      <c r="BP56" s="20">
        <f t="shared" si="9"/>
        <v>354</v>
      </c>
      <c r="BQ56" s="20">
        <f t="shared" si="10"/>
        <v>62339.587079999998</v>
      </c>
      <c r="BR56" s="19">
        <f>VLOOKUP(BP56,'Hazard Weighting Functions'!$B$5:$G$1205,4,FALSE)</f>
        <v>0</v>
      </c>
      <c r="BS56" s="19">
        <f t="shared" si="34"/>
        <v>0</v>
      </c>
      <c r="BT56" s="19">
        <f t="shared" si="35"/>
        <v>0</v>
      </c>
      <c r="BV56">
        <f>VLOOKUP(BK56,'Hazard Weighting Functions'!$B$5:$G$1205,5,FALSE)</f>
        <v>0</v>
      </c>
      <c r="BW56" s="24">
        <f t="shared" si="36"/>
        <v>0</v>
      </c>
      <c r="BX56" s="24">
        <f t="shared" si="37"/>
        <v>0</v>
      </c>
    </row>
    <row r="57" spans="2:76">
      <c r="B57">
        <v>256</v>
      </c>
      <c r="C57" s="36">
        <v>0.27200950153814601</v>
      </c>
      <c r="E57">
        <v>256</v>
      </c>
      <c r="F57" s="36">
        <v>0.27200950153814601</v>
      </c>
      <c r="H57" s="19">
        <v>256</v>
      </c>
      <c r="I57" s="36">
        <v>0.27200950153814601</v>
      </c>
      <c r="K57">
        <v>1140</v>
      </c>
      <c r="L57" s="36">
        <f>1542.3426*(1628/1602)</f>
        <v>1567.37437752809</v>
      </c>
      <c r="N57">
        <v>356</v>
      </c>
      <c r="O57" s="36">
        <v>65203.859000613083</v>
      </c>
      <c r="Q57" s="19">
        <v>356</v>
      </c>
      <c r="R57" s="36">
        <v>65203.858999999997</v>
      </c>
      <c r="V57">
        <f t="shared" si="12"/>
        <v>256</v>
      </c>
      <c r="W57">
        <f t="shared" si="13"/>
        <v>0.27200950153814601</v>
      </c>
      <c r="Y57">
        <f t="shared" si="14"/>
        <v>256</v>
      </c>
      <c r="Z57">
        <f t="shared" si="15"/>
        <v>0.27200950153814601</v>
      </c>
      <c r="AA57">
        <f>VLOOKUP(Y57,'Hazard Weighting Functions'!$B$5:$G$1205,2,FALSE)</f>
        <v>0.54369999999999996</v>
      </c>
      <c r="AB57">
        <f t="shared" si="16"/>
        <v>0.14789156598628997</v>
      </c>
      <c r="AC57">
        <f t="shared" si="17"/>
        <v>0.32826771926338094</v>
      </c>
      <c r="AE57">
        <f>VLOOKUP(Y57,'Hazard Weighting Functions'!$B$5:$G$1205,3,FALSE)</f>
        <v>0</v>
      </c>
      <c r="AF57">
        <f t="shared" si="18"/>
        <v>0</v>
      </c>
      <c r="AG57">
        <f t="shared" si="19"/>
        <v>0</v>
      </c>
      <c r="AH57">
        <f>VLOOKUP(Y57,'Hazard Weighting Functions'!$B$5:$G$1205,5,FALSE)</f>
        <v>0</v>
      </c>
      <c r="AI57">
        <f t="shared" si="20"/>
        <v>0</v>
      </c>
      <c r="AJ57">
        <f t="shared" si="21"/>
        <v>0</v>
      </c>
      <c r="AP57" s="20">
        <f>'IEC_EN62471- Halogen non-GLS'!E107</f>
        <v>356</v>
      </c>
      <c r="AQ57" s="20">
        <f t="shared" si="22"/>
        <v>8.1504823750766349</v>
      </c>
      <c r="AR57">
        <f>VLOOKUP(AP57,'Hazard Weighting Functions'!$B$5:$G$1205,3,FALSE)</f>
        <v>0.01</v>
      </c>
      <c r="AS57">
        <f t="shared" si="23"/>
        <v>8.1504823750766356E-2</v>
      </c>
      <c r="AT57">
        <f t="shared" si="24"/>
        <v>0.16673297874700643</v>
      </c>
      <c r="AU57" s="20">
        <f t="shared" si="11"/>
        <v>356</v>
      </c>
      <c r="AV57">
        <f>O57</f>
        <v>65203.859000613083</v>
      </c>
      <c r="AW57" s="19">
        <f>VLOOKUP(AU57,'Hazard Weighting Functions'!$B$5:$G$1205,3,FALSE)</f>
        <v>0.01</v>
      </c>
      <c r="AX57">
        <f t="shared" si="25"/>
        <v>652.0385900061309</v>
      </c>
      <c r="AY57" s="19">
        <f t="shared" si="26"/>
        <v>1333.8638299760514</v>
      </c>
      <c r="AZ57" s="20">
        <f t="shared" si="2"/>
        <v>356</v>
      </c>
      <c r="BA57" s="20">
        <f t="shared" si="3"/>
        <v>65203.858999999997</v>
      </c>
      <c r="BB57" s="19">
        <f>VLOOKUP(AZ57,'Hazard Weighting Functions'!$B$5:$G$1205,3,FALSE)</f>
        <v>0.01</v>
      </c>
      <c r="BC57">
        <f t="shared" si="27"/>
        <v>652.03859</v>
      </c>
      <c r="BD57" s="19">
        <f t="shared" si="28"/>
        <v>1333.86383</v>
      </c>
      <c r="BF57" s="20">
        <f t="shared" ref="BF57:BG57" si="64">H147</f>
        <v>490</v>
      </c>
      <c r="BG57" s="20">
        <f t="shared" si="64"/>
        <v>52.738700000000001</v>
      </c>
      <c r="BH57" s="19">
        <f>VLOOKUP(BF57,'Hazard Weighting Functions'!$B$5:$G$1205,4,FALSE)</f>
        <v>2.2000000000000002</v>
      </c>
      <c r="BI57" s="19">
        <f t="shared" si="30"/>
        <v>116.02514000000001</v>
      </c>
      <c r="BJ57" s="19">
        <f t="shared" si="31"/>
        <v>509.93885000000006</v>
      </c>
      <c r="BK57" s="1">
        <f t="shared" si="7"/>
        <v>356</v>
      </c>
      <c r="BL57" s="20">
        <f t="shared" si="8"/>
        <v>65203.859000613083</v>
      </c>
      <c r="BM57">
        <f>VLOOKUP(BK57,'Hazard Weighting Functions'!$B$5:$G$1205,4,FALSE)</f>
        <v>0</v>
      </c>
      <c r="BN57">
        <f t="shared" si="32"/>
        <v>0</v>
      </c>
      <c r="BO57" s="19">
        <f t="shared" si="33"/>
        <v>0</v>
      </c>
      <c r="BP57" s="20">
        <f t="shared" si="9"/>
        <v>356</v>
      </c>
      <c r="BQ57" s="20">
        <f t="shared" si="10"/>
        <v>65203.858999999997</v>
      </c>
      <c r="BR57" s="19">
        <f>VLOOKUP(BP57,'Hazard Weighting Functions'!$B$5:$G$1205,4,FALSE)</f>
        <v>0</v>
      </c>
      <c r="BS57" s="19">
        <f t="shared" si="34"/>
        <v>0</v>
      </c>
      <c r="BT57" s="19">
        <f t="shared" si="35"/>
        <v>0</v>
      </c>
      <c r="BV57">
        <f>VLOOKUP(BK57,'Hazard Weighting Functions'!$B$5:$G$1205,5,FALSE)</f>
        <v>0</v>
      </c>
      <c r="BW57" s="24">
        <f t="shared" si="36"/>
        <v>0</v>
      </c>
      <c r="BX57" s="24">
        <f t="shared" si="37"/>
        <v>0</v>
      </c>
    </row>
    <row r="58" spans="2:76">
      <c r="B58">
        <v>258</v>
      </c>
      <c r="C58" s="36">
        <v>0.30340816362841205</v>
      </c>
      <c r="E58">
        <v>258</v>
      </c>
      <c r="F58" s="36">
        <v>0.30340816362841205</v>
      </c>
      <c r="H58" s="19">
        <v>258</v>
      </c>
      <c r="I58" s="36">
        <v>0.30340816362841205</v>
      </c>
      <c r="K58">
        <v>1145</v>
      </c>
      <c r="L58" s="36">
        <f>1533.61644*(1628/1602)</f>
        <v>1558.5065944569287</v>
      </c>
      <c r="N58">
        <v>358</v>
      </c>
      <c r="O58" s="36">
        <v>68182.523996992066</v>
      </c>
      <c r="Q58" s="19">
        <v>358</v>
      </c>
      <c r="R58" s="36">
        <v>68182.524000000005</v>
      </c>
      <c r="V58">
        <f t="shared" si="12"/>
        <v>258</v>
      </c>
      <c r="W58">
        <f t="shared" si="13"/>
        <v>0.30340816362841205</v>
      </c>
      <c r="Y58">
        <f t="shared" si="14"/>
        <v>258</v>
      </c>
      <c r="Z58">
        <f t="shared" si="15"/>
        <v>0.30340816362841205</v>
      </c>
      <c r="AA58">
        <f>VLOOKUP(Y58,'Hazard Weighting Functions'!$B$5:$G$1205,2,FALSE)</f>
        <v>0.59450000000000003</v>
      </c>
      <c r="AB58">
        <f t="shared" si="16"/>
        <v>0.18037615327709097</v>
      </c>
      <c r="AC58">
        <f t="shared" si="17"/>
        <v>0.39963805327709101</v>
      </c>
      <c r="AE58">
        <f>VLOOKUP(Y58,'Hazard Weighting Functions'!$B$5:$G$1205,3,FALSE)</f>
        <v>0</v>
      </c>
      <c r="AF58">
        <f t="shared" si="18"/>
        <v>0</v>
      </c>
      <c r="AG58">
        <f t="shared" si="19"/>
        <v>0</v>
      </c>
      <c r="AH58">
        <f>VLOOKUP(Y58,'Hazard Weighting Functions'!$B$5:$G$1205,5,FALSE)</f>
        <v>0</v>
      </c>
      <c r="AI58">
        <f t="shared" si="20"/>
        <v>0</v>
      </c>
      <c r="AJ58">
        <f t="shared" si="21"/>
        <v>0</v>
      </c>
      <c r="AP58" s="20">
        <f>'IEC_EN62471- Halogen non-GLS'!E108</f>
        <v>358</v>
      </c>
      <c r="AQ58" s="20">
        <f t="shared" si="22"/>
        <v>8.5228154996240075</v>
      </c>
      <c r="AR58">
        <f>VLOOKUP(AP58,'Hazard Weighting Functions'!$B$5:$G$1205,3,FALSE)</f>
        <v>0.01</v>
      </c>
      <c r="AS58">
        <f t="shared" si="23"/>
        <v>8.5228154996240077E-2</v>
      </c>
      <c r="AT58">
        <f t="shared" si="24"/>
        <v>0.17423735499624007</v>
      </c>
      <c r="AU58" s="20">
        <f t="shared" si="11"/>
        <v>358</v>
      </c>
      <c r="AV58">
        <f>O58</f>
        <v>68182.523996992066</v>
      </c>
      <c r="AW58" s="19">
        <f>VLOOKUP(AU58,'Hazard Weighting Functions'!$B$5:$G$1205,3,FALSE)</f>
        <v>0.01</v>
      </c>
      <c r="AX58">
        <f t="shared" si="25"/>
        <v>681.82523996992063</v>
      </c>
      <c r="AY58" s="19">
        <f t="shared" si="26"/>
        <v>1393.8988399699206</v>
      </c>
      <c r="AZ58" s="20">
        <f t="shared" si="2"/>
        <v>358</v>
      </c>
      <c r="BA58" s="20">
        <f t="shared" si="3"/>
        <v>68182.524000000005</v>
      </c>
      <c r="BB58" s="19">
        <f>VLOOKUP(AZ58,'Hazard Weighting Functions'!$B$5:$G$1205,3,FALSE)</f>
        <v>0.01</v>
      </c>
      <c r="BC58">
        <f t="shared" si="27"/>
        <v>681.82524000000001</v>
      </c>
      <c r="BD58" s="19">
        <f t="shared" si="28"/>
        <v>1393.8988400000001</v>
      </c>
      <c r="BF58" s="20">
        <f t="shared" ref="BF58:BG58" si="65">H148</f>
        <v>495</v>
      </c>
      <c r="BG58" s="20">
        <f t="shared" si="65"/>
        <v>54.969000000000001</v>
      </c>
      <c r="BH58" s="19">
        <f>VLOOKUP(BF58,'Hazard Weighting Functions'!$B$5:$G$1205,4,FALSE)</f>
        <v>1.6</v>
      </c>
      <c r="BI58" s="19">
        <f t="shared" si="30"/>
        <v>87.950400000000002</v>
      </c>
      <c r="BJ58" s="19">
        <f t="shared" si="31"/>
        <v>362.96050000000002</v>
      </c>
      <c r="BK58" s="1">
        <f t="shared" si="7"/>
        <v>358</v>
      </c>
      <c r="BL58" s="20">
        <f t="shared" si="8"/>
        <v>68182.523996992066</v>
      </c>
      <c r="BM58">
        <f>VLOOKUP(BK58,'Hazard Weighting Functions'!$B$5:$G$1205,4,FALSE)</f>
        <v>0</v>
      </c>
      <c r="BN58">
        <f t="shared" si="32"/>
        <v>0</v>
      </c>
      <c r="BO58" s="19">
        <f t="shared" si="33"/>
        <v>0</v>
      </c>
      <c r="BP58" s="20">
        <f t="shared" si="9"/>
        <v>358</v>
      </c>
      <c r="BQ58" s="20">
        <f t="shared" si="10"/>
        <v>68182.524000000005</v>
      </c>
      <c r="BR58" s="19">
        <f>VLOOKUP(BP58,'Hazard Weighting Functions'!$B$5:$G$1205,4,FALSE)</f>
        <v>0</v>
      </c>
      <c r="BS58" s="19">
        <f t="shared" si="34"/>
        <v>0</v>
      </c>
      <c r="BT58" s="19">
        <f t="shared" si="35"/>
        <v>0</v>
      </c>
      <c r="BV58">
        <f>VLOOKUP(BK58,'Hazard Weighting Functions'!$B$5:$G$1205,5,FALSE)</f>
        <v>0</v>
      </c>
      <c r="BW58" s="24">
        <f t="shared" si="36"/>
        <v>0</v>
      </c>
      <c r="BX58" s="24">
        <f t="shared" si="37"/>
        <v>0</v>
      </c>
    </row>
    <row r="59" spans="2:76">
      <c r="B59">
        <v>260</v>
      </c>
      <c r="C59" s="36">
        <v>0.33732600000000007</v>
      </c>
      <c r="E59">
        <v>260</v>
      </c>
      <c r="F59" s="36">
        <v>0.33732600000000007</v>
      </c>
      <c r="H59" s="19">
        <v>260</v>
      </c>
      <c r="I59" s="36">
        <v>0.33732600000000007</v>
      </c>
      <c r="K59">
        <v>1150</v>
      </c>
      <c r="L59" s="36">
        <f>1524.84084*(1628/1602)</f>
        <v>1549.5885689887639</v>
      </c>
      <c r="N59">
        <v>360</v>
      </c>
      <c r="O59" s="36">
        <v>71207.359999999986</v>
      </c>
      <c r="Q59" s="19">
        <v>360</v>
      </c>
      <c r="R59" s="36">
        <v>71207.360000000001</v>
      </c>
      <c r="V59">
        <f t="shared" si="12"/>
        <v>260</v>
      </c>
      <c r="W59">
        <f t="shared" si="13"/>
        <v>0.33732600000000007</v>
      </c>
      <c r="Y59">
        <f t="shared" si="14"/>
        <v>260</v>
      </c>
      <c r="Z59">
        <f t="shared" si="15"/>
        <v>0.33732600000000007</v>
      </c>
      <c r="AA59">
        <f>VLOOKUP(Y59,'Hazard Weighting Functions'!$B$5:$G$1205,2,FALSE)</f>
        <v>0.65</v>
      </c>
      <c r="AB59">
        <f t="shared" si="16"/>
        <v>0.21926190000000007</v>
      </c>
      <c r="AC59">
        <f t="shared" si="17"/>
        <v>0.48473386990880385</v>
      </c>
      <c r="AE59">
        <f>VLOOKUP(Y59,'Hazard Weighting Functions'!$B$5:$G$1205,3,FALSE)</f>
        <v>0</v>
      </c>
      <c r="AF59">
        <f t="shared" si="18"/>
        <v>0</v>
      </c>
      <c r="AG59">
        <f t="shared" si="19"/>
        <v>0</v>
      </c>
      <c r="AH59">
        <f>VLOOKUP(Y59,'Hazard Weighting Functions'!$B$5:$G$1205,5,FALSE)</f>
        <v>0</v>
      </c>
      <c r="AI59">
        <f t="shared" si="20"/>
        <v>0</v>
      </c>
      <c r="AJ59">
        <f t="shared" si="21"/>
        <v>0</v>
      </c>
      <c r="AP59" s="20">
        <f>'IEC_EN62471- Halogen non-GLS'!E109</f>
        <v>360</v>
      </c>
      <c r="AQ59" s="20">
        <f t="shared" si="22"/>
        <v>8.9009199999999993</v>
      </c>
      <c r="AR59">
        <f>VLOOKUP(AP59,'Hazard Weighting Functions'!$B$5:$G$1205,3,FALSE)</f>
        <v>0.01</v>
      </c>
      <c r="AS59">
        <f t="shared" si="23"/>
        <v>8.9009199999999997E-2</v>
      </c>
      <c r="AT59">
        <f t="shared" si="24"/>
        <v>0.1817975307705143</v>
      </c>
      <c r="AU59" s="20">
        <f t="shared" si="11"/>
        <v>360</v>
      </c>
      <c r="AV59">
        <f>O59</f>
        <v>71207.359999999986</v>
      </c>
      <c r="AW59" s="19">
        <f>VLOOKUP(AU59,'Hazard Weighting Functions'!$B$5:$G$1205,3,FALSE)</f>
        <v>0.01</v>
      </c>
      <c r="AX59">
        <f t="shared" si="25"/>
        <v>712.07359999999983</v>
      </c>
      <c r="AY59" s="19">
        <f t="shared" si="26"/>
        <v>1454.3802461641144</v>
      </c>
      <c r="AZ59" s="20">
        <f t="shared" si="2"/>
        <v>360</v>
      </c>
      <c r="BA59" s="20">
        <f t="shared" si="3"/>
        <v>71207.360000000001</v>
      </c>
      <c r="BB59" s="19">
        <f>VLOOKUP(AZ59,'Hazard Weighting Functions'!$B$5:$G$1205,3,FALSE)</f>
        <v>0.01</v>
      </c>
      <c r="BC59">
        <f t="shared" si="27"/>
        <v>712.07360000000006</v>
      </c>
      <c r="BD59" s="19">
        <f t="shared" si="28"/>
        <v>1454.3802461999999</v>
      </c>
      <c r="BF59" s="20">
        <f t="shared" ref="BF59:BG59" si="66">H149</f>
        <v>500</v>
      </c>
      <c r="BG59" s="20">
        <f t="shared" si="66"/>
        <v>57.233800000000002</v>
      </c>
      <c r="BH59" s="19">
        <f>VLOOKUP(BF59,'Hazard Weighting Functions'!$B$5:$G$1205,4,FALSE)</f>
        <v>1</v>
      </c>
      <c r="BI59" s="19">
        <f t="shared" si="30"/>
        <v>57.233800000000002</v>
      </c>
      <c r="BJ59" s="19">
        <f t="shared" si="31"/>
        <v>292.04950000000002</v>
      </c>
      <c r="BK59" s="1">
        <f t="shared" si="7"/>
        <v>360</v>
      </c>
      <c r="BL59" s="20">
        <f t="shared" si="8"/>
        <v>71207.359999999986</v>
      </c>
      <c r="BM59">
        <f>VLOOKUP(BK59,'Hazard Weighting Functions'!$B$5:$G$1205,4,FALSE)</f>
        <v>0</v>
      </c>
      <c r="BN59">
        <f t="shared" si="32"/>
        <v>0</v>
      </c>
      <c r="BO59" s="19">
        <f t="shared" si="33"/>
        <v>0</v>
      </c>
      <c r="BP59" s="20">
        <f t="shared" si="9"/>
        <v>360</v>
      </c>
      <c r="BQ59" s="20">
        <f t="shared" si="10"/>
        <v>71207.360000000001</v>
      </c>
      <c r="BR59" s="19">
        <f>VLOOKUP(BP59,'Hazard Weighting Functions'!$B$5:$G$1205,4,FALSE)</f>
        <v>0</v>
      </c>
      <c r="BS59" s="19">
        <f t="shared" si="34"/>
        <v>0</v>
      </c>
      <c r="BT59" s="19">
        <f t="shared" si="35"/>
        <v>0</v>
      </c>
      <c r="BV59">
        <f>VLOOKUP(BK59,'Hazard Weighting Functions'!$B$5:$G$1205,5,FALSE)</f>
        <v>0</v>
      </c>
      <c r="BW59" s="24">
        <f t="shared" si="36"/>
        <v>0</v>
      </c>
      <c r="BX59" s="24">
        <f t="shared" si="37"/>
        <v>0</v>
      </c>
    </row>
    <row r="60" spans="2:76">
      <c r="B60">
        <v>262</v>
      </c>
      <c r="C60" s="36">
        <v>0.3740095377695179</v>
      </c>
      <c r="E60">
        <v>262</v>
      </c>
      <c r="F60" s="36">
        <v>0.3740095377695179</v>
      </c>
      <c r="H60" s="19">
        <v>262</v>
      </c>
      <c r="I60" s="36">
        <v>0.3740095377695179</v>
      </c>
      <c r="K60">
        <v>1155</v>
      </c>
      <c r="L60" s="36">
        <f>1516.04052*(1628/1602)</f>
        <v>1540.6454223220971</v>
      </c>
      <c r="N60">
        <v>362</v>
      </c>
      <c r="O60" s="36">
        <v>74230.66461641145</v>
      </c>
      <c r="Q60" s="19">
        <v>362</v>
      </c>
      <c r="R60" s="36">
        <v>74230.664619999996</v>
      </c>
      <c r="V60">
        <f t="shared" si="12"/>
        <v>262</v>
      </c>
      <c r="W60">
        <f t="shared" si="13"/>
        <v>0.3740095377695179</v>
      </c>
      <c r="Y60">
        <f t="shared" si="14"/>
        <v>262</v>
      </c>
      <c r="Z60">
        <f t="shared" si="15"/>
        <v>0.3740095377695179</v>
      </c>
      <c r="AA60">
        <f>VLOOKUP(Y60,'Hazard Weighting Functions'!$B$5:$G$1205,2,FALSE)</f>
        <v>0.70979999999999999</v>
      </c>
      <c r="AB60">
        <f t="shared" si="16"/>
        <v>0.26547196990880378</v>
      </c>
      <c r="AC60">
        <f t="shared" si="17"/>
        <v>0.58581924479396741</v>
      </c>
      <c r="AE60">
        <f>VLOOKUP(Y60,'Hazard Weighting Functions'!$B$5:$G$1205,3,FALSE)</f>
        <v>0</v>
      </c>
      <c r="AF60">
        <f t="shared" si="18"/>
        <v>0</v>
      </c>
      <c r="AG60">
        <f t="shared" si="19"/>
        <v>0</v>
      </c>
      <c r="AH60">
        <f>VLOOKUP(Y60,'Hazard Weighting Functions'!$B$5:$G$1205,5,FALSE)</f>
        <v>0</v>
      </c>
      <c r="AI60">
        <f t="shared" si="20"/>
        <v>0</v>
      </c>
      <c r="AJ60">
        <f t="shared" si="21"/>
        <v>0</v>
      </c>
      <c r="AP60" s="20">
        <f>'IEC_EN62471- Halogen non-GLS'!E110</f>
        <v>362</v>
      </c>
      <c r="AQ60" s="20">
        <f t="shared" si="22"/>
        <v>9.2788330770514325</v>
      </c>
      <c r="AR60">
        <f>VLOOKUP(AP60,'Hazard Weighting Functions'!$B$5:$G$1205,3,FALSE)</f>
        <v>0.01</v>
      </c>
      <c r="AS60">
        <f t="shared" si="23"/>
        <v>9.2788330770514321E-2</v>
      </c>
      <c r="AT60">
        <f t="shared" si="24"/>
        <v>0.18940388804208719</v>
      </c>
      <c r="AU60" s="20">
        <f t="shared" si="11"/>
        <v>362</v>
      </c>
      <c r="AV60">
        <f>O60</f>
        <v>74230.66461641145</v>
      </c>
      <c r="AW60" s="19">
        <f>VLOOKUP(AU60,'Hazard Weighting Functions'!$B$5:$G$1205,3,FALSE)</f>
        <v>0.01</v>
      </c>
      <c r="AX60">
        <f t="shared" si="25"/>
        <v>742.30664616411457</v>
      </c>
      <c r="AY60" s="19">
        <f t="shared" si="26"/>
        <v>1515.2311043366972</v>
      </c>
      <c r="AZ60" s="20">
        <f t="shared" si="2"/>
        <v>362</v>
      </c>
      <c r="BA60" s="20">
        <f t="shared" si="3"/>
        <v>74230.664619999996</v>
      </c>
      <c r="BB60" s="19">
        <f>VLOOKUP(AZ60,'Hazard Weighting Functions'!$B$5:$G$1205,3,FALSE)</f>
        <v>0.01</v>
      </c>
      <c r="BC60">
        <f t="shared" si="27"/>
        <v>742.30664619999993</v>
      </c>
      <c r="BD60" s="19">
        <f t="shared" si="28"/>
        <v>1515.2311043999998</v>
      </c>
      <c r="BF60" s="20">
        <f t="shared" ref="BF60:BG60" si="67">H150</f>
        <v>505</v>
      </c>
      <c r="BG60" s="20">
        <f t="shared" si="67"/>
        <v>59.585999999999999</v>
      </c>
      <c r="BH60" s="19">
        <f>VLOOKUP(BF60,'Hazard Weighting Functions'!$B$5:$G$1205,4,FALSE)</f>
        <v>1</v>
      </c>
      <c r="BI60" s="19">
        <f t="shared" si="30"/>
        <v>59.585999999999999</v>
      </c>
      <c r="BJ60" s="19">
        <f t="shared" si="31"/>
        <v>303.76624999999996</v>
      </c>
      <c r="BK60" s="1">
        <f t="shared" si="7"/>
        <v>362</v>
      </c>
      <c r="BL60" s="20">
        <f t="shared" si="8"/>
        <v>74230.66461641145</v>
      </c>
      <c r="BM60">
        <f>VLOOKUP(BK60,'Hazard Weighting Functions'!$B$5:$G$1205,4,FALSE)</f>
        <v>0</v>
      </c>
      <c r="BN60">
        <f t="shared" si="32"/>
        <v>0</v>
      </c>
      <c r="BO60" s="19">
        <f t="shared" si="33"/>
        <v>0</v>
      </c>
      <c r="BP60" s="20">
        <f t="shared" si="9"/>
        <v>362</v>
      </c>
      <c r="BQ60" s="20">
        <f t="shared" si="10"/>
        <v>74230.664619999996</v>
      </c>
      <c r="BR60" s="19">
        <f>VLOOKUP(BP60,'Hazard Weighting Functions'!$B$5:$G$1205,4,FALSE)</f>
        <v>0</v>
      </c>
      <c r="BS60" s="19">
        <f t="shared" si="34"/>
        <v>0</v>
      </c>
      <c r="BT60" s="19">
        <f t="shared" si="35"/>
        <v>0</v>
      </c>
      <c r="BV60">
        <f>VLOOKUP(BK60,'Hazard Weighting Functions'!$B$5:$G$1205,5,FALSE)</f>
        <v>0</v>
      </c>
      <c r="BW60" s="24">
        <f t="shared" si="36"/>
        <v>0</v>
      </c>
      <c r="BX60" s="24">
        <f t="shared" si="37"/>
        <v>0</v>
      </c>
    </row>
    <row r="61" spans="2:76">
      <c r="B61">
        <v>264</v>
      </c>
      <c r="C61" s="36">
        <v>0.41329799365909387</v>
      </c>
      <c r="E61">
        <v>264</v>
      </c>
      <c r="F61" s="36">
        <v>0.41329799365909387</v>
      </c>
      <c r="H61" s="19">
        <v>264</v>
      </c>
      <c r="I61" s="36">
        <v>0.41329799365909387</v>
      </c>
      <c r="K61">
        <v>1160</v>
      </c>
      <c r="L61" s="36">
        <f>1507.20312*(1628/1602)</f>
        <v>1531.6645938576778</v>
      </c>
      <c r="N61">
        <v>364</v>
      </c>
      <c r="O61" s="36">
        <v>77292.445817258267</v>
      </c>
      <c r="Q61" s="19">
        <v>364</v>
      </c>
      <c r="R61" s="36">
        <v>77292.445819999994</v>
      </c>
      <c r="V61">
        <f t="shared" si="12"/>
        <v>264</v>
      </c>
      <c r="W61">
        <f t="shared" si="13"/>
        <v>0.41329799365909387</v>
      </c>
      <c r="Y61">
        <f t="shared" si="14"/>
        <v>264</v>
      </c>
      <c r="Z61">
        <f t="shared" si="15"/>
        <v>0.41329799365909387</v>
      </c>
      <c r="AA61">
        <f>VLOOKUP(Y61,'Hazard Weighting Functions'!$B$5:$G$1205,2,FALSE)</f>
        <v>0.77510000000000001</v>
      </c>
      <c r="AB61">
        <f t="shared" si="16"/>
        <v>0.32034727488516368</v>
      </c>
      <c r="AC61">
        <f t="shared" si="17"/>
        <v>0.70474301158445829</v>
      </c>
      <c r="AE61">
        <f>VLOOKUP(Y61,'Hazard Weighting Functions'!$B$5:$G$1205,3,FALSE)</f>
        <v>0</v>
      </c>
      <c r="AF61">
        <f t="shared" si="18"/>
        <v>0</v>
      </c>
      <c r="AG61">
        <f t="shared" si="19"/>
        <v>0</v>
      </c>
      <c r="AH61">
        <f>VLOOKUP(Y61,'Hazard Weighting Functions'!$B$5:$G$1205,5,FALSE)</f>
        <v>0</v>
      </c>
      <c r="AI61">
        <f t="shared" si="20"/>
        <v>0</v>
      </c>
      <c r="AJ61">
        <f t="shared" si="21"/>
        <v>0</v>
      </c>
      <c r="AP61" s="20">
        <f>'IEC_EN62471- Halogen non-GLS'!E111</f>
        <v>364</v>
      </c>
      <c r="AQ61" s="20">
        <f t="shared" si="22"/>
        <v>9.6615557271572854</v>
      </c>
      <c r="AR61">
        <f>VLOOKUP(AP61,'Hazard Weighting Functions'!$B$5:$G$1205,3,FALSE)</f>
        <v>0.01</v>
      </c>
      <c r="AS61">
        <f t="shared" si="23"/>
        <v>9.6615557271572852E-2</v>
      </c>
      <c r="AT61">
        <f t="shared" si="24"/>
        <v>0.19718202418189495</v>
      </c>
      <c r="AU61" s="20">
        <f t="shared" si="11"/>
        <v>364</v>
      </c>
      <c r="AV61">
        <f>O61</f>
        <v>77292.445817258267</v>
      </c>
      <c r="AW61" s="19">
        <f>VLOOKUP(AU61,'Hazard Weighting Functions'!$B$5:$G$1205,3,FALSE)</f>
        <v>0.01</v>
      </c>
      <c r="AX61">
        <f t="shared" si="25"/>
        <v>772.92445817258272</v>
      </c>
      <c r="AY61" s="19">
        <f t="shared" si="26"/>
        <v>1577.4561934551593</v>
      </c>
      <c r="AZ61" s="20">
        <f t="shared" si="2"/>
        <v>364</v>
      </c>
      <c r="BA61" s="20">
        <f t="shared" si="3"/>
        <v>77292.445819999994</v>
      </c>
      <c r="BB61" s="19">
        <f>VLOOKUP(AZ61,'Hazard Weighting Functions'!$B$5:$G$1205,3,FALSE)</f>
        <v>0.01</v>
      </c>
      <c r="BC61">
        <f t="shared" si="27"/>
        <v>772.9244582</v>
      </c>
      <c r="BD61" s="19">
        <f t="shared" si="28"/>
        <v>1577.4561935000002</v>
      </c>
      <c r="BF61" s="20">
        <f t="shared" ref="BF61:BG61" si="68">H151</f>
        <v>510</v>
      </c>
      <c r="BG61" s="20">
        <f t="shared" si="68"/>
        <v>61.920499999999997</v>
      </c>
      <c r="BH61" s="19">
        <f>VLOOKUP(BF61,'Hazard Weighting Functions'!$B$5:$G$1205,4,FALSE)</f>
        <v>1</v>
      </c>
      <c r="BI61" s="19">
        <f t="shared" si="30"/>
        <v>61.920499999999997</v>
      </c>
      <c r="BJ61" s="19">
        <f t="shared" si="31"/>
        <v>315.23050000000001</v>
      </c>
      <c r="BK61" s="1">
        <f t="shared" si="7"/>
        <v>364</v>
      </c>
      <c r="BL61" s="20">
        <f t="shared" si="8"/>
        <v>77292.445817258267</v>
      </c>
      <c r="BM61">
        <f>VLOOKUP(BK61,'Hazard Weighting Functions'!$B$5:$G$1205,4,FALSE)</f>
        <v>0</v>
      </c>
      <c r="BN61">
        <f t="shared" si="32"/>
        <v>0</v>
      </c>
      <c r="BO61" s="19">
        <f t="shared" si="33"/>
        <v>0</v>
      </c>
      <c r="BP61" s="20">
        <f t="shared" si="9"/>
        <v>364</v>
      </c>
      <c r="BQ61" s="20">
        <f t="shared" si="10"/>
        <v>77292.445819999994</v>
      </c>
      <c r="BR61" s="19">
        <f>VLOOKUP(BP61,'Hazard Weighting Functions'!$B$5:$G$1205,4,FALSE)</f>
        <v>0</v>
      </c>
      <c r="BS61" s="19">
        <f t="shared" si="34"/>
        <v>0</v>
      </c>
      <c r="BT61" s="19">
        <f t="shared" si="35"/>
        <v>0</v>
      </c>
      <c r="BV61">
        <f>VLOOKUP(BK61,'Hazard Weighting Functions'!$B$5:$G$1205,5,FALSE)</f>
        <v>0</v>
      </c>
      <c r="BW61" s="24">
        <f t="shared" si="36"/>
        <v>0</v>
      </c>
      <c r="BX61" s="24">
        <f t="shared" si="37"/>
        <v>0</v>
      </c>
    </row>
    <row r="62" spans="2:76">
      <c r="B62">
        <v>266</v>
      </c>
      <c r="C62" s="36">
        <v>0.45496003870197022</v>
      </c>
      <c r="E62">
        <v>266</v>
      </c>
      <c r="F62" s="36">
        <v>0.45496003870197022</v>
      </c>
      <c r="H62" s="19">
        <v>266</v>
      </c>
      <c r="I62" s="36">
        <v>0.45496003870197022</v>
      </c>
      <c r="K62">
        <v>1165</v>
      </c>
      <c r="L62" s="36">
        <f>1498.341*(1628/1602)</f>
        <v>1522.6586441947566</v>
      </c>
      <c r="N62">
        <v>366</v>
      </c>
      <c r="O62" s="36">
        <v>80453.173528257656</v>
      </c>
      <c r="Q62" s="19">
        <v>366</v>
      </c>
      <c r="R62" s="36">
        <v>80453.17353</v>
      </c>
      <c r="V62">
        <f t="shared" si="12"/>
        <v>266</v>
      </c>
      <c r="W62">
        <f t="shared" si="13"/>
        <v>0.45496003870197022</v>
      </c>
      <c r="Y62">
        <f t="shared" si="14"/>
        <v>266</v>
      </c>
      <c r="Z62">
        <f t="shared" si="15"/>
        <v>0.45496003870197022</v>
      </c>
      <c r="AA62">
        <f>VLOOKUP(Y62,'Hazard Weighting Functions'!$B$5:$G$1205,2,FALSE)</f>
        <v>0.84489999999999998</v>
      </c>
      <c r="AB62">
        <f t="shared" si="16"/>
        <v>0.38439573669929461</v>
      </c>
      <c r="AC62">
        <f t="shared" si="17"/>
        <v>0.84352127126385934</v>
      </c>
      <c r="AE62">
        <f>VLOOKUP(Y62,'Hazard Weighting Functions'!$B$5:$G$1205,3,FALSE)</f>
        <v>0</v>
      </c>
      <c r="AF62">
        <f t="shared" si="18"/>
        <v>0</v>
      </c>
      <c r="AG62">
        <f t="shared" si="19"/>
        <v>0</v>
      </c>
      <c r="AH62">
        <f>VLOOKUP(Y62,'Hazard Weighting Functions'!$B$5:$G$1205,5,FALSE)</f>
        <v>0</v>
      </c>
      <c r="AI62">
        <f t="shared" si="20"/>
        <v>0</v>
      </c>
      <c r="AJ62">
        <f t="shared" si="21"/>
        <v>0</v>
      </c>
      <c r="AP62" s="20">
        <f>'IEC_EN62471- Halogen non-GLS'!E112</f>
        <v>366</v>
      </c>
      <c r="AQ62" s="20">
        <f t="shared" si="22"/>
        <v>10.056646691032208</v>
      </c>
      <c r="AR62">
        <f>VLOOKUP(AP62,'Hazard Weighting Functions'!$B$5:$G$1205,3,FALSE)</f>
        <v>0.01</v>
      </c>
      <c r="AS62">
        <f t="shared" si="23"/>
        <v>0.10056646691032209</v>
      </c>
      <c r="AT62">
        <f t="shared" si="24"/>
        <v>0.20524097695833488</v>
      </c>
      <c r="AU62" s="20">
        <f t="shared" si="11"/>
        <v>366</v>
      </c>
      <c r="AV62">
        <f>O62</f>
        <v>80453.173528257656</v>
      </c>
      <c r="AW62" s="19">
        <f>VLOOKUP(AU62,'Hazard Weighting Functions'!$B$5:$G$1205,3,FALSE)</f>
        <v>0.01</v>
      </c>
      <c r="AX62">
        <f t="shared" si="25"/>
        <v>804.53173528257662</v>
      </c>
      <c r="AY62" s="19">
        <f t="shared" si="26"/>
        <v>1641.9278156666787</v>
      </c>
      <c r="AZ62" s="20">
        <f t="shared" si="2"/>
        <v>366</v>
      </c>
      <c r="BA62" s="20">
        <f t="shared" si="3"/>
        <v>80453.17353</v>
      </c>
      <c r="BB62" s="19">
        <f>VLOOKUP(AZ62,'Hazard Weighting Functions'!$B$5:$G$1205,3,FALSE)</f>
        <v>0.01</v>
      </c>
      <c r="BC62">
        <f t="shared" si="27"/>
        <v>804.53173530000004</v>
      </c>
      <c r="BD62" s="19">
        <f t="shared" si="28"/>
        <v>1641.9278157000001</v>
      </c>
      <c r="BF62" s="20">
        <f t="shared" ref="BF62:BG62" si="69">H152</f>
        <v>515</v>
      </c>
      <c r="BG62" s="20">
        <f t="shared" si="69"/>
        <v>64.171700000000001</v>
      </c>
      <c r="BH62" s="19">
        <f>VLOOKUP(BF62,'Hazard Weighting Functions'!$B$5:$G$1205,4,FALSE)</f>
        <v>1</v>
      </c>
      <c r="BI62" s="19">
        <f t="shared" si="30"/>
        <v>64.171700000000001</v>
      </c>
      <c r="BJ62" s="19">
        <f t="shared" si="31"/>
        <v>326.54975000000002</v>
      </c>
      <c r="BK62" s="1">
        <f t="shared" si="7"/>
        <v>366</v>
      </c>
      <c r="BL62" s="20">
        <f t="shared" si="8"/>
        <v>80453.173528257656</v>
      </c>
      <c r="BM62">
        <f>VLOOKUP(BK62,'Hazard Weighting Functions'!$B$5:$G$1205,4,FALSE)</f>
        <v>0</v>
      </c>
      <c r="BN62">
        <f t="shared" si="32"/>
        <v>0</v>
      </c>
      <c r="BO62" s="19">
        <f t="shared" si="33"/>
        <v>0</v>
      </c>
      <c r="BP62" s="20">
        <f t="shared" si="9"/>
        <v>366</v>
      </c>
      <c r="BQ62" s="20">
        <f t="shared" si="10"/>
        <v>80453.17353</v>
      </c>
      <c r="BR62" s="19">
        <f>VLOOKUP(BP62,'Hazard Weighting Functions'!$B$5:$G$1205,4,FALSE)</f>
        <v>0</v>
      </c>
      <c r="BS62" s="19">
        <f t="shared" si="34"/>
        <v>0</v>
      </c>
      <c r="BT62" s="19">
        <f t="shared" si="35"/>
        <v>0</v>
      </c>
      <c r="BV62">
        <f>VLOOKUP(BK62,'Hazard Weighting Functions'!$B$5:$G$1205,5,FALSE)</f>
        <v>0</v>
      </c>
      <c r="BW62" s="24">
        <f t="shared" si="36"/>
        <v>0</v>
      </c>
      <c r="BX62" s="24">
        <f t="shared" si="37"/>
        <v>0</v>
      </c>
    </row>
    <row r="63" spans="2:76">
      <c r="B63">
        <v>268</v>
      </c>
      <c r="C63" s="36">
        <v>0.49948382785527057</v>
      </c>
      <c r="E63">
        <v>268</v>
      </c>
      <c r="F63" s="36">
        <v>0.49948382785527057</v>
      </c>
      <c r="H63" s="19">
        <v>268</v>
      </c>
      <c r="I63" s="36">
        <v>0.49948382785527057</v>
      </c>
      <c r="K63">
        <v>1170</v>
      </c>
      <c r="L63" s="36">
        <f>1489.45416*(1628/1602)</f>
        <v>1513.6275733333334</v>
      </c>
      <c r="N63">
        <v>368</v>
      </c>
      <c r="O63" s="36">
        <v>83739.60803841021</v>
      </c>
      <c r="Q63" s="19">
        <v>368</v>
      </c>
      <c r="R63" s="36">
        <v>83739.608040000006</v>
      </c>
      <c r="V63">
        <f t="shared" si="12"/>
        <v>268</v>
      </c>
      <c r="W63">
        <f t="shared" si="13"/>
        <v>0.49948382785527057</v>
      </c>
      <c r="Y63">
        <f t="shared" si="14"/>
        <v>268</v>
      </c>
      <c r="Z63">
        <f t="shared" si="15"/>
        <v>0.49948382785527057</v>
      </c>
      <c r="AA63">
        <f>VLOOKUP(Y63,'Hazard Weighting Functions'!$B$5:$G$1205,2,FALSE)</f>
        <v>0.91920000000000002</v>
      </c>
      <c r="AB63">
        <f t="shared" si="16"/>
        <v>0.45912553456456473</v>
      </c>
      <c r="AC63">
        <f t="shared" si="17"/>
        <v>1.0072025345645648</v>
      </c>
      <c r="AE63">
        <f>VLOOKUP(Y63,'Hazard Weighting Functions'!$B$5:$G$1205,3,FALSE)</f>
        <v>0</v>
      </c>
      <c r="AF63">
        <f t="shared" si="18"/>
        <v>0</v>
      </c>
      <c r="AG63">
        <f t="shared" si="19"/>
        <v>0</v>
      </c>
      <c r="AH63">
        <f>VLOOKUP(Y63,'Hazard Weighting Functions'!$B$5:$G$1205,5,FALSE)</f>
        <v>0</v>
      </c>
      <c r="AI63">
        <f t="shared" si="20"/>
        <v>0</v>
      </c>
      <c r="AJ63">
        <f t="shared" si="21"/>
        <v>0</v>
      </c>
      <c r="AP63" s="20">
        <f>'IEC_EN62471- Halogen non-GLS'!E113</f>
        <v>368</v>
      </c>
      <c r="AQ63" s="20">
        <f t="shared" si="22"/>
        <v>10.467451004801278</v>
      </c>
      <c r="AR63">
        <f>VLOOKUP(AP63,'Hazard Weighting Functions'!$B$5:$G$1205,3,FALSE)</f>
        <v>0.01</v>
      </c>
      <c r="AS63">
        <f t="shared" si="23"/>
        <v>0.10467451004801279</v>
      </c>
      <c r="AT63">
        <f t="shared" si="24"/>
        <v>0.21360551004801279</v>
      </c>
      <c r="AU63" s="20">
        <f t="shared" si="11"/>
        <v>368</v>
      </c>
      <c r="AV63">
        <f>O63</f>
        <v>83739.60803841021</v>
      </c>
      <c r="AW63" s="19">
        <f>VLOOKUP(AU63,'Hazard Weighting Functions'!$B$5:$G$1205,3,FALSE)</f>
        <v>0.01</v>
      </c>
      <c r="AX63">
        <f t="shared" si="25"/>
        <v>837.39608038410211</v>
      </c>
      <c r="AY63" s="19">
        <f t="shared" si="26"/>
        <v>1708.8440803841022</v>
      </c>
      <c r="AZ63" s="20">
        <f t="shared" si="2"/>
        <v>368</v>
      </c>
      <c r="BA63" s="20">
        <f t="shared" si="3"/>
        <v>83739.608040000006</v>
      </c>
      <c r="BB63" s="19">
        <f>VLOOKUP(AZ63,'Hazard Weighting Functions'!$B$5:$G$1205,3,FALSE)</f>
        <v>0.01</v>
      </c>
      <c r="BC63">
        <f t="shared" si="27"/>
        <v>837.39608040000007</v>
      </c>
      <c r="BD63" s="19">
        <f t="shared" si="28"/>
        <v>1708.8440804000002</v>
      </c>
      <c r="BF63" s="20">
        <f t="shared" ref="BF63:BG63" si="70">H153</f>
        <v>520</v>
      </c>
      <c r="BG63" s="20">
        <f t="shared" si="70"/>
        <v>66.4482</v>
      </c>
      <c r="BH63" s="19">
        <f>VLOOKUP(BF63,'Hazard Weighting Functions'!$B$5:$G$1205,4,FALSE)</f>
        <v>1</v>
      </c>
      <c r="BI63" s="19">
        <f t="shared" si="30"/>
        <v>66.4482</v>
      </c>
      <c r="BJ63" s="19">
        <f t="shared" si="31"/>
        <v>338.14875000000001</v>
      </c>
      <c r="BK63" s="1">
        <f t="shared" si="7"/>
        <v>368</v>
      </c>
      <c r="BL63" s="20">
        <f t="shared" si="8"/>
        <v>83739.60803841021</v>
      </c>
      <c r="BM63">
        <f>VLOOKUP(BK63,'Hazard Weighting Functions'!$B$5:$G$1205,4,FALSE)</f>
        <v>0</v>
      </c>
      <c r="BN63">
        <f t="shared" si="32"/>
        <v>0</v>
      </c>
      <c r="BO63" s="19">
        <f t="shared" si="33"/>
        <v>0</v>
      </c>
      <c r="BP63" s="20">
        <f t="shared" si="9"/>
        <v>368</v>
      </c>
      <c r="BQ63" s="20">
        <f t="shared" si="10"/>
        <v>83739.608040000006</v>
      </c>
      <c r="BR63" s="19">
        <f>VLOOKUP(BP63,'Hazard Weighting Functions'!$B$5:$G$1205,4,FALSE)</f>
        <v>0</v>
      </c>
      <c r="BS63" s="19">
        <f t="shared" si="34"/>
        <v>0</v>
      </c>
      <c r="BT63" s="19">
        <f t="shared" si="35"/>
        <v>0</v>
      </c>
      <c r="BV63">
        <f>VLOOKUP(BK63,'Hazard Weighting Functions'!$B$5:$G$1205,5,FALSE)</f>
        <v>0</v>
      </c>
      <c r="BW63" s="24">
        <f t="shared" si="36"/>
        <v>0</v>
      </c>
      <c r="BX63" s="24">
        <f t="shared" si="37"/>
        <v>0</v>
      </c>
    </row>
    <row r="64" spans="2:76">
      <c r="B64">
        <v>270</v>
      </c>
      <c r="C64" s="36">
        <v>0.54807700000000004</v>
      </c>
      <c r="E64">
        <v>270</v>
      </c>
      <c r="F64" s="36">
        <v>0.54807700000000004</v>
      </c>
      <c r="H64" s="19">
        <v>270</v>
      </c>
      <c r="I64" s="36">
        <v>0.54807700000000004</v>
      </c>
      <c r="K64">
        <v>1175</v>
      </c>
      <c r="L64" s="36">
        <f>1480.5426*(1628/1602)</f>
        <v>1504.5713812734082</v>
      </c>
      <c r="N64">
        <v>370</v>
      </c>
      <c r="O64" s="36">
        <v>87144.8</v>
      </c>
      <c r="Q64" s="19">
        <v>370</v>
      </c>
      <c r="R64" s="36">
        <v>87144.8</v>
      </c>
      <c r="V64">
        <f t="shared" si="12"/>
        <v>270</v>
      </c>
      <c r="W64">
        <f t="shared" si="13"/>
        <v>0.54807700000000004</v>
      </c>
      <c r="Y64">
        <f t="shared" si="14"/>
        <v>270</v>
      </c>
      <c r="Z64">
        <f t="shared" si="15"/>
        <v>0.54807700000000004</v>
      </c>
      <c r="AA64">
        <f>VLOOKUP(Y64,'Hazard Weighting Functions'!$B$5:$G$1205,2,FALSE)</f>
        <v>1</v>
      </c>
      <c r="AB64">
        <f t="shared" si="16"/>
        <v>0.54807700000000004</v>
      </c>
      <c r="AC64">
        <f t="shared" si="17"/>
        <v>1.139763647485323</v>
      </c>
      <c r="AE64">
        <f>VLOOKUP(Y64,'Hazard Weighting Functions'!$B$5:$G$1205,3,FALSE)</f>
        <v>0</v>
      </c>
      <c r="AF64">
        <f t="shared" si="18"/>
        <v>0</v>
      </c>
      <c r="AG64">
        <f t="shared" si="19"/>
        <v>0</v>
      </c>
      <c r="AH64">
        <f>VLOOKUP(Y64,'Hazard Weighting Functions'!$B$5:$G$1205,5,FALSE)</f>
        <v>0</v>
      </c>
      <c r="AI64">
        <f t="shared" si="20"/>
        <v>0</v>
      </c>
      <c r="AJ64">
        <f t="shared" si="21"/>
        <v>0</v>
      </c>
      <c r="AP64" s="20">
        <f>'IEC_EN62471- Halogen non-GLS'!E114</f>
        <v>370</v>
      </c>
      <c r="AQ64" s="20">
        <f t="shared" si="22"/>
        <v>10.8931</v>
      </c>
      <c r="AR64">
        <f>VLOOKUP(AP64,'Hazard Weighting Functions'!$B$5:$G$1205,3,FALSE)</f>
        <v>0.01</v>
      </c>
      <c r="AS64">
        <f t="shared" si="23"/>
        <v>0.108931</v>
      </c>
      <c r="AT64">
        <f t="shared" si="24"/>
        <v>0.22225055240249397</v>
      </c>
      <c r="AU64" s="20">
        <f t="shared" si="11"/>
        <v>370</v>
      </c>
      <c r="AV64">
        <f>O64</f>
        <v>87144.8</v>
      </c>
      <c r="AW64" s="19">
        <f>VLOOKUP(AU64,'Hazard Weighting Functions'!$B$5:$G$1205,3,FALSE)</f>
        <v>0.01</v>
      </c>
      <c r="AX64">
        <f t="shared" si="25"/>
        <v>871.44800000000009</v>
      </c>
      <c r="AY64" s="19">
        <f t="shared" si="26"/>
        <v>1778.0044192199518</v>
      </c>
      <c r="AZ64" s="20">
        <f t="shared" si="2"/>
        <v>370</v>
      </c>
      <c r="BA64" s="20">
        <f t="shared" si="3"/>
        <v>87144.8</v>
      </c>
      <c r="BB64" s="19">
        <f>VLOOKUP(AZ64,'Hazard Weighting Functions'!$B$5:$G$1205,3,FALSE)</f>
        <v>0.01</v>
      </c>
      <c r="BC64">
        <f t="shared" si="27"/>
        <v>871.44800000000009</v>
      </c>
      <c r="BD64" s="19">
        <f t="shared" si="28"/>
        <v>1778.0044192</v>
      </c>
      <c r="BF64" s="20">
        <f t="shared" ref="BF64:BG64" si="71">H154</f>
        <v>525</v>
      </c>
      <c r="BG64" s="20">
        <f t="shared" si="71"/>
        <v>68.811300000000003</v>
      </c>
      <c r="BH64" s="19">
        <f>VLOOKUP(BF64,'Hazard Weighting Functions'!$B$5:$G$1205,4,FALSE)</f>
        <v>1</v>
      </c>
      <c r="BI64" s="19">
        <f t="shared" si="30"/>
        <v>68.811300000000003</v>
      </c>
      <c r="BJ64" s="19">
        <f t="shared" si="31"/>
        <v>350.04149999999993</v>
      </c>
      <c r="BK64" s="1">
        <f t="shared" si="7"/>
        <v>370</v>
      </c>
      <c r="BL64" s="20">
        <f t="shared" si="8"/>
        <v>87144.8</v>
      </c>
      <c r="BM64">
        <f>VLOOKUP(BK64,'Hazard Weighting Functions'!$B$5:$G$1205,4,FALSE)</f>
        <v>0</v>
      </c>
      <c r="BN64">
        <f t="shared" si="32"/>
        <v>0</v>
      </c>
      <c r="BO64" s="19">
        <f t="shared" si="33"/>
        <v>0</v>
      </c>
      <c r="BP64" s="20">
        <f t="shared" si="9"/>
        <v>370</v>
      </c>
      <c r="BQ64" s="20">
        <f t="shared" si="10"/>
        <v>87144.8</v>
      </c>
      <c r="BR64" s="19">
        <f>VLOOKUP(BP64,'Hazard Weighting Functions'!$B$5:$G$1205,4,FALSE)</f>
        <v>0</v>
      </c>
      <c r="BS64" s="19">
        <f t="shared" si="34"/>
        <v>0</v>
      </c>
      <c r="BT64" s="19">
        <f t="shared" si="35"/>
        <v>0</v>
      </c>
      <c r="BV64">
        <f>VLOOKUP(BK64,'Hazard Weighting Functions'!$B$5:$G$1205,5,FALSE)</f>
        <v>0</v>
      </c>
      <c r="BW64" s="24">
        <f t="shared" si="36"/>
        <v>0</v>
      </c>
      <c r="BX64" s="24">
        <f t="shared" si="37"/>
        <v>0</v>
      </c>
    </row>
    <row r="65" spans="2:76">
      <c r="B65">
        <v>272</v>
      </c>
      <c r="C65" s="36">
        <v>0.60142981041403021</v>
      </c>
      <c r="E65">
        <v>272</v>
      </c>
      <c r="F65" s="36">
        <v>0.60142981041403021</v>
      </c>
      <c r="H65" s="19">
        <v>272</v>
      </c>
      <c r="I65" s="36">
        <v>0.60142981041403021</v>
      </c>
      <c r="K65">
        <v>1180</v>
      </c>
      <c r="L65" s="36">
        <f>1471.60632*(1628/1602)</f>
        <v>1495.4900680149813</v>
      </c>
      <c r="N65">
        <v>372</v>
      </c>
      <c r="O65" s="36">
        <v>90655.641921995179</v>
      </c>
      <c r="Q65" s="19">
        <v>372</v>
      </c>
      <c r="R65" s="36">
        <v>90655.641919999995</v>
      </c>
      <c r="V65">
        <f t="shared" si="12"/>
        <v>272</v>
      </c>
      <c r="W65">
        <f t="shared" si="13"/>
        <v>0.60142981041403021</v>
      </c>
      <c r="Y65">
        <f t="shared" si="14"/>
        <v>272</v>
      </c>
      <c r="Z65">
        <f t="shared" si="15"/>
        <v>0.60142981041403021</v>
      </c>
      <c r="AA65">
        <f>VLOOKUP(Y65,'Hazard Weighting Functions'!$B$5:$G$1205,2,FALSE)</f>
        <v>0.98380000000000001</v>
      </c>
      <c r="AB65">
        <f t="shared" si="16"/>
        <v>0.59168664748532296</v>
      </c>
      <c r="AC65">
        <f t="shared" si="17"/>
        <v>1.2286014847494946</v>
      </c>
      <c r="AE65">
        <f>VLOOKUP(Y65,'Hazard Weighting Functions'!$B$5:$G$1205,3,FALSE)</f>
        <v>0</v>
      </c>
      <c r="AF65">
        <f t="shared" si="18"/>
        <v>0</v>
      </c>
      <c r="AG65">
        <f t="shared" si="19"/>
        <v>0</v>
      </c>
      <c r="AH65">
        <f>VLOOKUP(Y65,'Hazard Weighting Functions'!$B$5:$G$1205,5,FALSE)</f>
        <v>0</v>
      </c>
      <c r="AI65">
        <f t="shared" si="20"/>
        <v>0</v>
      </c>
      <c r="AJ65">
        <f t="shared" si="21"/>
        <v>0</v>
      </c>
      <c r="AP65" s="20">
        <f>'IEC_EN62471- Halogen non-GLS'!E115</f>
        <v>372</v>
      </c>
      <c r="AQ65" s="20">
        <f t="shared" si="22"/>
        <v>11.331955240249398</v>
      </c>
      <c r="AR65">
        <f>VLOOKUP(AP65,'Hazard Weighting Functions'!$B$5:$G$1205,3,FALSE)</f>
        <v>0.01</v>
      </c>
      <c r="AS65">
        <f t="shared" si="23"/>
        <v>0.11331955240249399</v>
      </c>
      <c r="AT65">
        <f t="shared" si="24"/>
        <v>0.23111987275951423</v>
      </c>
      <c r="AU65" s="20">
        <f t="shared" si="11"/>
        <v>372</v>
      </c>
      <c r="AV65">
        <f>O65</f>
        <v>90655.641921995179</v>
      </c>
      <c r="AW65" s="19">
        <f>VLOOKUP(AU65,'Hazard Weighting Functions'!$B$5:$G$1205,3,FALSE)</f>
        <v>0.01</v>
      </c>
      <c r="AX65">
        <f t="shared" si="25"/>
        <v>906.55641921995175</v>
      </c>
      <c r="AY65" s="19">
        <f t="shared" si="26"/>
        <v>1848.9589820761139</v>
      </c>
      <c r="AZ65" s="20">
        <f t="shared" si="2"/>
        <v>372</v>
      </c>
      <c r="BA65" s="20">
        <f t="shared" si="3"/>
        <v>90655.641919999995</v>
      </c>
      <c r="BB65" s="19">
        <f>VLOOKUP(AZ65,'Hazard Weighting Functions'!$B$5:$G$1205,3,FALSE)</f>
        <v>0.01</v>
      </c>
      <c r="BC65">
        <f t="shared" si="27"/>
        <v>906.55641919999994</v>
      </c>
      <c r="BD65" s="19">
        <f t="shared" si="28"/>
        <v>1848.9589821</v>
      </c>
      <c r="BF65" s="20">
        <f t="shared" ref="BF65:BG65" si="72">H155</f>
        <v>530</v>
      </c>
      <c r="BG65" s="20">
        <f t="shared" si="72"/>
        <v>71.205299999999994</v>
      </c>
      <c r="BH65" s="19">
        <f>VLOOKUP(BF65,'Hazard Weighting Functions'!$B$5:$G$1205,4,FALSE)</f>
        <v>1</v>
      </c>
      <c r="BI65" s="19">
        <f t="shared" si="30"/>
        <v>71.205299999999994</v>
      </c>
      <c r="BJ65" s="19">
        <f t="shared" si="31"/>
        <v>362.01224999999994</v>
      </c>
      <c r="BK65" s="1">
        <f t="shared" si="7"/>
        <v>372</v>
      </c>
      <c r="BL65" s="20">
        <f t="shared" si="8"/>
        <v>90655.641921995179</v>
      </c>
      <c r="BM65">
        <f>VLOOKUP(BK65,'Hazard Weighting Functions'!$B$5:$G$1205,4,FALSE)</f>
        <v>0</v>
      </c>
      <c r="BN65">
        <f t="shared" si="32"/>
        <v>0</v>
      </c>
      <c r="BO65" s="19">
        <f t="shared" si="33"/>
        <v>0</v>
      </c>
      <c r="BP65" s="20">
        <f t="shared" si="9"/>
        <v>372</v>
      </c>
      <c r="BQ65" s="20">
        <f t="shared" si="10"/>
        <v>90655.641919999995</v>
      </c>
      <c r="BR65" s="19">
        <f>VLOOKUP(BP65,'Hazard Weighting Functions'!$B$5:$G$1205,4,FALSE)</f>
        <v>0</v>
      </c>
      <c r="BS65" s="19">
        <f t="shared" si="34"/>
        <v>0</v>
      </c>
      <c r="BT65" s="19">
        <f t="shared" si="35"/>
        <v>0</v>
      </c>
      <c r="BV65">
        <f>VLOOKUP(BK65,'Hazard Weighting Functions'!$B$5:$G$1205,5,FALSE)</f>
        <v>0</v>
      </c>
      <c r="BW65" s="24">
        <f t="shared" si="36"/>
        <v>0</v>
      </c>
      <c r="BX65" s="24">
        <f t="shared" si="37"/>
        <v>0</v>
      </c>
    </row>
    <row r="66" spans="2:76">
      <c r="B66">
        <v>274</v>
      </c>
      <c r="C66" s="36">
        <v>0.65803785232376433</v>
      </c>
      <c r="E66">
        <v>274</v>
      </c>
      <c r="F66" s="36">
        <v>0.65803785232376433</v>
      </c>
      <c r="H66" s="19">
        <v>274</v>
      </c>
      <c r="I66" s="36">
        <v>0.65803785232376433</v>
      </c>
      <c r="K66">
        <v>1185</v>
      </c>
      <c r="L66" s="36">
        <f>1462.65768*(1628/1602)</f>
        <v>1486.3961941573032</v>
      </c>
      <c r="N66">
        <v>374</v>
      </c>
      <c r="O66" s="36">
        <v>94240.256285616211</v>
      </c>
      <c r="Q66" s="19">
        <v>374</v>
      </c>
      <c r="R66" s="36">
        <v>94240.256290000005</v>
      </c>
      <c r="V66">
        <f t="shared" si="12"/>
        <v>274</v>
      </c>
      <c r="W66">
        <f t="shared" si="13"/>
        <v>0.65803785232376433</v>
      </c>
      <c r="Y66">
        <f t="shared" si="14"/>
        <v>274</v>
      </c>
      <c r="Z66">
        <f t="shared" si="15"/>
        <v>0.65803785232376433</v>
      </c>
      <c r="AA66">
        <f>VLOOKUP(Y66,'Hazard Weighting Functions'!$B$5:$G$1205,2,FALSE)</f>
        <v>0.96789999999999998</v>
      </c>
      <c r="AB66">
        <f t="shared" si="16"/>
        <v>0.63691483726417153</v>
      </c>
      <c r="AC66">
        <f t="shared" si="17"/>
        <v>1.312355954385227</v>
      </c>
      <c r="AE66">
        <f>VLOOKUP(Y66,'Hazard Weighting Functions'!$B$5:$G$1205,3,FALSE)</f>
        <v>0</v>
      </c>
      <c r="AF66">
        <f t="shared" si="18"/>
        <v>0</v>
      </c>
      <c r="AG66">
        <f t="shared" si="19"/>
        <v>0</v>
      </c>
      <c r="AH66">
        <f>VLOOKUP(Y66,'Hazard Weighting Functions'!$B$5:$G$1205,5,FALSE)</f>
        <v>0</v>
      </c>
      <c r="AI66">
        <f t="shared" si="20"/>
        <v>0</v>
      </c>
      <c r="AJ66">
        <f t="shared" si="21"/>
        <v>0</v>
      </c>
      <c r="AP66" s="20">
        <f>'IEC_EN62471- Halogen non-GLS'!E116</f>
        <v>374</v>
      </c>
      <c r="AQ66" s="20">
        <f t="shared" si="22"/>
        <v>11.780032035702027</v>
      </c>
      <c r="AR66">
        <f>VLOOKUP(AP66,'Hazard Weighting Functions'!$B$5:$G$1205,3,FALSE)</f>
        <v>0.01</v>
      </c>
      <c r="AS66">
        <f t="shared" si="23"/>
        <v>0.11780032035702026</v>
      </c>
      <c r="AT66">
        <f t="shared" si="24"/>
        <v>0.24013088935076282</v>
      </c>
      <c r="AU66" s="20">
        <f t="shared" si="11"/>
        <v>374</v>
      </c>
      <c r="AV66">
        <f>O66</f>
        <v>94240.256285616211</v>
      </c>
      <c r="AW66" s="19">
        <f>VLOOKUP(AU66,'Hazard Weighting Functions'!$B$5:$G$1205,3,FALSE)</f>
        <v>0.01</v>
      </c>
      <c r="AX66">
        <f t="shared" si="25"/>
        <v>942.40256285616215</v>
      </c>
      <c r="AY66" s="19">
        <f t="shared" si="26"/>
        <v>1921.0471148061024</v>
      </c>
      <c r="AZ66" s="20">
        <f t="shared" si="2"/>
        <v>374</v>
      </c>
      <c r="BA66" s="20">
        <f t="shared" si="3"/>
        <v>94240.256290000005</v>
      </c>
      <c r="BB66" s="19">
        <f>VLOOKUP(AZ66,'Hazard Weighting Functions'!$B$5:$G$1205,3,FALSE)</f>
        <v>0.01</v>
      </c>
      <c r="BC66">
        <f t="shared" si="27"/>
        <v>942.40256290000002</v>
      </c>
      <c r="BD66" s="19">
        <f t="shared" si="28"/>
        <v>1921.0471147999999</v>
      </c>
      <c r="BF66" s="20">
        <f t="shared" ref="BF66:BG66" si="73">H156</f>
        <v>535</v>
      </c>
      <c r="BG66" s="20">
        <f t="shared" si="73"/>
        <v>73.599599999999995</v>
      </c>
      <c r="BH66" s="19">
        <f>VLOOKUP(BF66,'Hazard Weighting Functions'!$B$5:$G$1205,4,FALSE)</f>
        <v>1</v>
      </c>
      <c r="BI66" s="19">
        <f t="shared" si="30"/>
        <v>73.599599999999995</v>
      </c>
      <c r="BJ66" s="19">
        <f t="shared" si="31"/>
        <v>373.779</v>
      </c>
      <c r="BK66" s="1">
        <f t="shared" si="7"/>
        <v>374</v>
      </c>
      <c r="BL66" s="20">
        <f t="shared" si="8"/>
        <v>94240.256285616211</v>
      </c>
      <c r="BM66">
        <f>VLOOKUP(BK66,'Hazard Weighting Functions'!$B$5:$G$1205,4,FALSE)</f>
        <v>0</v>
      </c>
      <c r="BN66">
        <f t="shared" si="32"/>
        <v>0</v>
      </c>
      <c r="BO66" s="19">
        <f t="shared" si="33"/>
        <v>0</v>
      </c>
      <c r="BP66" s="20">
        <f t="shared" si="9"/>
        <v>374</v>
      </c>
      <c r="BQ66" s="20">
        <f t="shared" si="10"/>
        <v>94240.256290000005</v>
      </c>
      <c r="BR66" s="19">
        <f>VLOOKUP(BP66,'Hazard Weighting Functions'!$B$5:$G$1205,4,FALSE)</f>
        <v>0</v>
      </c>
      <c r="BS66" s="19">
        <f t="shared" si="34"/>
        <v>0</v>
      </c>
      <c r="BT66" s="19">
        <f t="shared" si="35"/>
        <v>0</v>
      </c>
      <c r="BV66">
        <f>VLOOKUP(BK66,'Hazard Weighting Functions'!$B$5:$G$1205,5,FALSE)</f>
        <v>0</v>
      </c>
      <c r="BW66" s="24">
        <f t="shared" si="36"/>
        <v>0</v>
      </c>
      <c r="BX66" s="24">
        <f t="shared" si="37"/>
        <v>0</v>
      </c>
    </row>
    <row r="67" spans="2:76">
      <c r="B67">
        <v>276</v>
      </c>
      <c r="C67" s="36">
        <v>0.71596472028943758</v>
      </c>
      <c r="E67">
        <v>276</v>
      </c>
      <c r="F67" s="36">
        <v>0.71596472028943758</v>
      </c>
      <c r="H67" s="19">
        <v>276</v>
      </c>
      <c r="I67" s="36">
        <v>0.71596472028943758</v>
      </c>
      <c r="K67">
        <v>1190</v>
      </c>
      <c r="L67" s="36">
        <f>1453.68432*(1628/1602)</f>
        <v>1477.2771991011234</v>
      </c>
      <c r="N67">
        <v>376</v>
      </c>
      <c r="O67" s="36">
        <v>97864.455194994036</v>
      </c>
      <c r="Q67" s="19">
        <v>376</v>
      </c>
      <c r="R67" s="36">
        <v>97864.455189999993</v>
      </c>
      <c r="V67">
        <f t="shared" si="12"/>
        <v>276</v>
      </c>
      <c r="W67">
        <f t="shared" si="13"/>
        <v>0.71596472028943758</v>
      </c>
      <c r="Y67">
        <f t="shared" si="14"/>
        <v>276</v>
      </c>
      <c r="Z67">
        <f t="shared" si="15"/>
        <v>0.71596472028943758</v>
      </c>
      <c r="AA67">
        <f>VLOOKUP(Y67,'Hazard Weighting Functions'!$B$5:$G$1205,2,FALSE)</f>
        <v>0.94340000000000002</v>
      </c>
      <c r="AB67">
        <f t="shared" si="16"/>
        <v>0.67544111712105548</v>
      </c>
      <c r="AC67">
        <f t="shared" si="17"/>
        <v>1.382493451110963</v>
      </c>
      <c r="AE67">
        <f>VLOOKUP(Y67,'Hazard Weighting Functions'!$B$5:$G$1205,3,FALSE)</f>
        <v>0</v>
      </c>
      <c r="AF67">
        <f t="shared" si="18"/>
        <v>0</v>
      </c>
      <c r="AG67">
        <f t="shared" si="19"/>
        <v>0</v>
      </c>
      <c r="AH67">
        <f>VLOOKUP(Y67,'Hazard Weighting Functions'!$B$5:$G$1205,5,FALSE)</f>
        <v>0</v>
      </c>
      <c r="AI67">
        <f t="shared" si="20"/>
        <v>0</v>
      </c>
      <c r="AJ67">
        <f t="shared" si="21"/>
        <v>0</v>
      </c>
      <c r="AP67" s="20">
        <f>'IEC_EN62471- Halogen non-GLS'!E117</f>
        <v>376</v>
      </c>
      <c r="AQ67" s="20">
        <f t="shared" si="22"/>
        <v>12.233056899374255</v>
      </c>
      <c r="AR67">
        <f>VLOOKUP(AP67,'Hazard Weighting Functions'!$B$5:$G$1205,3,FALSE)</f>
        <v>0.01</v>
      </c>
      <c r="AS67">
        <f t="shared" si="23"/>
        <v>0.12233056899374255</v>
      </c>
      <c r="AT67">
        <f t="shared" si="24"/>
        <v>0.24926661866968114</v>
      </c>
      <c r="AU67" s="20">
        <f t="shared" si="11"/>
        <v>376</v>
      </c>
      <c r="AV67">
        <f>O67</f>
        <v>97864.455194994036</v>
      </c>
      <c r="AW67" s="19">
        <f>VLOOKUP(AU67,'Hazard Weighting Functions'!$B$5:$G$1205,3,FALSE)</f>
        <v>0.01</v>
      </c>
      <c r="AX67">
        <f t="shared" si="25"/>
        <v>978.64455194994036</v>
      </c>
      <c r="AY67" s="19">
        <f t="shared" si="26"/>
        <v>1994.1329493574488</v>
      </c>
      <c r="AZ67" s="20">
        <f t="shared" si="2"/>
        <v>376</v>
      </c>
      <c r="BA67" s="20">
        <f t="shared" si="3"/>
        <v>97864.455189999993</v>
      </c>
      <c r="BB67" s="19">
        <f>VLOOKUP(AZ67,'Hazard Weighting Functions'!$B$5:$G$1205,3,FALSE)</f>
        <v>0.01</v>
      </c>
      <c r="BC67">
        <f t="shared" si="27"/>
        <v>978.6445518999999</v>
      </c>
      <c r="BD67" s="19">
        <f t="shared" si="28"/>
        <v>1994.1329489</v>
      </c>
      <c r="BF67" s="20">
        <f t="shared" ref="BF67:BG67" si="74">H157</f>
        <v>540</v>
      </c>
      <c r="BG67" s="20">
        <f t="shared" si="74"/>
        <v>75.912000000000006</v>
      </c>
      <c r="BH67" s="19">
        <f>VLOOKUP(BF67,'Hazard Weighting Functions'!$B$5:$G$1205,4,FALSE)</f>
        <v>1</v>
      </c>
      <c r="BI67" s="19">
        <f t="shared" si="30"/>
        <v>75.912000000000006</v>
      </c>
      <c r="BJ67" s="19">
        <f t="shared" si="31"/>
        <v>385.16250000000008</v>
      </c>
      <c r="BK67" s="1">
        <f t="shared" si="7"/>
        <v>376</v>
      </c>
      <c r="BL67" s="20">
        <f t="shared" si="8"/>
        <v>97864.455194994036</v>
      </c>
      <c r="BM67">
        <f>VLOOKUP(BK67,'Hazard Weighting Functions'!$B$5:$G$1205,4,FALSE)</f>
        <v>0</v>
      </c>
      <c r="BN67">
        <f t="shared" si="32"/>
        <v>0</v>
      </c>
      <c r="BO67" s="19">
        <f t="shared" si="33"/>
        <v>0</v>
      </c>
      <c r="BP67" s="20">
        <f t="shared" si="9"/>
        <v>376</v>
      </c>
      <c r="BQ67" s="20">
        <f t="shared" si="10"/>
        <v>97864.455189999993</v>
      </c>
      <c r="BR67" s="19">
        <f>VLOOKUP(BP67,'Hazard Weighting Functions'!$B$5:$G$1205,4,FALSE)</f>
        <v>0</v>
      </c>
      <c r="BS67" s="19">
        <f t="shared" si="34"/>
        <v>0</v>
      </c>
      <c r="BT67" s="19">
        <f t="shared" si="35"/>
        <v>0</v>
      </c>
      <c r="BV67">
        <f>VLOOKUP(BK67,'Hazard Weighting Functions'!$B$5:$G$1205,5,FALSE)</f>
        <v>0</v>
      </c>
      <c r="BW67" s="24">
        <f t="shared" si="36"/>
        <v>0</v>
      </c>
      <c r="BX67" s="24">
        <f t="shared" si="37"/>
        <v>0</v>
      </c>
    </row>
    <row r="68" spans="2:76">
      <c r="B68">
        <v>278</v>
      </c>
      <c r="C68" s="36">
        <v>0.77595734634537683</v>
      </c>
      <c r="E68">
        <v>278</v>
      </c>
      <c r="F68" s="36">
        <v>0.77595734634537683</v>
      </c>
      <c r="H68" s="19">
        <v>278</v>
      </c>
      <c r="I68" s="36">
        <v>0.77595734634537683</v>
      </c>
      <c r="K68">
        <v>1195</v>
      </c>
      <c r="L68" s="36">
        <f>1444.6986*(1628/1602)</f>
        <v>1468.1456434456929</v>
      </c>
      <c r="N68">
        <v>378</v>
      </c>
      <c r="O68" s="36">
        <v>101548.83974075083</v>
      </c>
      <c r="Q68" s="19">
        <v>378</v>
      </c>
      <c r="R68" s="36">
        <v>101548.8397</v>
      </c>
      <c r="V68">
        <f t="shared" si="12"/>
        <v>278</v>
      </c>
      <c r="W68">
        <f t="shared" si="13"/>
        <v>0.77595734634537683</v>
      </c>
      <c r="Y68">
        <f t="shared" si="14"/>
        <v>278</v>
      </c>
      <c r="Z68">
        <f t="shared" si="15"/>
        <v>0.77595734634537683</v>
      </c>
      <c r="AA68">
        <f>VLOOKUP(Y68,'Hazard Weighting Functions'!$B$5:$G$1205,2,FALSE)</f>
        <v>0.91120000000000001</v>
      </c>
      <c r="AB68">
        <f t="shared" si="16"/>
        <v>0.70705233398990741</v>
      </c>
      <c r="AC68">
        <f t="shared" si="17"/>
        <v>1.4475248139899075</v>
      </c>
      <c r="AE68">
        <f>VLOOKUP(Y68,'Hazard Weighting Functions'!$B$5:$G$1205,3,FALSE)</f>
        <v>0</v>
      </c>
      <c r="AF68">
        <f t="shared" si="18"/>
        <v>0</v>
      </c>
      <c r="AG68">
        <f t="shared" si="19"/>
        <v>0</v>
      </c>
      <c r="AH68">
        <f>VLOOKUP(Y68,'Hazard Weighting Functions'!$B$5:$G$1205,5,FALSE)</f>
        <v>0</v>
      </c>
      <c r="AI68">
        <f t="shared" si="20"/>
        <v>0</v>
      </c>
      <c r="AJ68">
        <f t="shared" si="21"/>
        <v>0</v>
      </c>
      <c r="AP68" s="20">
        <f>'IEC_EN62471- Halogen non-GLS'!E118</f>
        <v>378</v>
      </c>
      <c r="AQ68" s="20">
        <f t="shared" si="22"/>
        <v>12.693604967593856</v>
      </c>
      <c r="AR68">
        <f>VLOOKUP(AP68,'Hazard Weighting Functions'!$B$5:$G$1205,3,FALSE)</f>
        <v>0.01</v>
      </c>
      <c r="AS68">
        <f t="shared" si="23"/>
        <v>0.12693604967593858</v>
      </c>
      <c r="AT68">
        <f t="shared" si="24"/>
        <v>0.25864704967593855</v>
      </c>
      <c r="AU68" s="20">
        <f t="shared" si="11"/>
        <v>378</v>
      </c>
      <c r="AV68">
        <f>O68</f>
        <v>101548.83974075083</v>
      </c>
      <c r="AW68" s="19">
        <f>VLOOKUP(AU68,'Hazard Weighting Functions'!$B$5:$G$1205,3,FALSE)</f>
        <v>0.01</v>
      </c>
      <c r="AX68">
        <f t="shared" si="25"/>
        <v>1015.4883974075084</v>
      </c>
      <c r="AY68" s="19">
        <f t="shared" si="26"/>
        <v>2069.1763974075079</v>
      </c>
      <c r="AZ68" s="20">
        <f t="shared" si="2"/>
        <v>378</v>
      </c>
      <c r="BA68" s="20">
        <f t="shared" si="3"/>
        <v>101548.8397</v>
      </c>
      <c r="BB68" s="19">
        <f>VLOOKUP(AZ68,'Hazard Weighting Functions'!$B$5:$G$1205,3,FALSE)</f>
        <v>0.01</v>
      </c>
      <c r="BC68">
        <f t="shared" si="27"/>
        <v>1015.488397</v>
      </c>
      <c r="BD68" s="19">
        <f t="shared" si="28"/>
        <v>2069.1763970000002</v>
      </c>
      <c r="BF68" s="20">
        <f t="shared" ref="BF68:BG68" si="75">H158</f>
        <v>545</v>
      </c>
      <c r="BG68" s="20">
        <f t="shared" si="75"/>
        <v>78.15300000000002</v>
      </c>
      <c r="BH68" s="19">
        <f>VLOOKUP(BF68,'Hazard Weighting Functions'!$B$5:$G$1205,4,FALSE)</f>
        <v>1</v>
      </c>
      <c r="BI68" s="19">
        <f t="shared" si="30"/>
        <v>78.15300000000002</v>
      </c>
      <c r="BJ68" s="19">
        <f t="shared" si="31"/>
        <v>395.61550000000011</v>
      </c>
      <c r="BK68" s="1">
        <f t="shared" si="7"/>
        <v>378</v>
      </c>
      <c r="BL68" s="20">
        <f t="shared" si="8"/>
        <v>101548.83974075083</v>
      </c>
      <c r="BM68">
        <f>VLOOKUP(BK68,'Hazard Weighting Functions'!$B$5:$G$1205,4,FALSE)</f>
        <v>0</v>
      </c>
      <c r="BN68">
        <f t="shared" ref="BN68:BN93" si="76">BM68*BL68</f>
        <v>0</v>
      </c>
      <c r="BO68" s="19">
        <f>0.5*(BK69-BK68)*(BN68+BN69)</f>
        <v>10536.879999999997</v>
      </c>
      <c r="BP68" s="20">
        <f t="shared" si="9"/>
        <v>378</v>
      </c>
      <c r="BQ68" s="20">
        <f t="shared" si="10"/>
        <v>101548.8397</v>
      </c>
      <c r="BR68" s="19">
        <f>VLOOKUP(BP68,'Hazard Weighting Functions'!$B$5:$G$1205,4,FALSE)</f>
        <v>0</v>
      </c>
      <c r="BS68" s="19">
        <f t="shared" si="34"/>
        <v>0</v>
      </c>
      <c r="BT68" s="19">
        <f t="shared" si="35"/>
        <v>10536.880000000001</v>
      </c>
      <c r="BV68">
        <f>VLOOKUP(BK68,'Hazard Weighting Functions'!$B$5:$G$1205,5,FALSE)</f>
        <v>0</v>
      </c>
      <c r="BW68" s="24">
        <f t="shared" si="36"/>
        <v>0</v>
      </c>
      <c r="BX68" s="24">
        <f t="shared" si="37"/>
        <v>4.109383199999999</v>
      </c>
    </row>
    <row r="69" spans="2:76">
      <c r="B69">
        <v>280</v>
      </c>
      <c r="C69" s="36">
        <v>0.84144600000000003</v>
      </c>
      <c r="E69">
        <v>280</v>
      </c>
      <c r="F69" s="36">
        <v>0.84144600000000003</v>
      </c>
      <c r="H69" s="19">
        <v>280</v>
      </c>
      <c r="I69" s="36">
        <v>0.84144600000000003</v>
      </c>
      <c r="K69">
        <v>1200</v>
      </c>
      <c r="L69" s="36">
        <f>1435.70052*(1628/1602)</f>
        <v>1459.0015271910111</v>
      </c>
      <c r="N69">
        <v>380</v>
      </c>
      <c r="O69" s="36">
        <v>105368.79999999997</v>
      </c>
      <c r="Q69" s="19">
        <v>380</v>
      </c>
      <c r="R69" s="36">
        <v>105368.8</v>
      </c>
      <c r="V69">
        <f t="shared" si="12"/>
        <v>280</v>
      </c>
      <c r="W69">
        <f t="shared" si="13"/>
        <v>0.84144600000000003</v>
      </c>
      <c r="Y69">
        <f t="shared" si="14"/>
        <v>280</v>
      </c>
      <c r="Z69">
        <f t="shared" si="15"/>
        <v>0.84144600000000003</v>
      </c>
      <c r="AA69">
        <f>VLOOKUP(Y69,'Hazard Weighting Functions'!$B$5:$G$1205,2,FALSE)</f>
        <v>0.88</v>
      </c>
      <c r="AB69">
        <f t="shared" si="16"/>
        <v>0.74047247999999999</v>
      </c>
      <c r="AC69">
        <f t="shared" si="17"/>
        <v>1.5036104256000433</v>
      </c>
      <c r="AE69">
        <f>VLOOKUP(Y69,'Hazard Weighting Functions'!$B$5:$G$1205,3,FALSE)</f>
        <v>0</v>
      </c>
      <c r="AF69">
        <f t="shared" si="18"/>
        <v>0</v>
      </c>
      <c r="AG69">
        <f t="shared" si="19"/>
        <v>0</v>
      </c>
      <c r="AH69">
        <f>VLOOKUP(Y69,'Hazard Weighting Functions'!$B$5:$G$1205,5,FALSE)</f>
        <v>0</v>
      </c>
      <c r="AI69">
        <f t="shared" si="20"/>
        <v>0</v>
      </c>
      <c r="AJ69">
        <f t="shared" si="21"/>
        <v>0</v>
      </c>
      <c r="AP69" s="20">
        <f>'IEC_EN62471- Halogen non-GLS'!E119</f>
        <v>380</v>
      </c>
      <c r="AQ69" s="20">
        <f t="shared" si="22"/>
        <v>13.171099999999999</v>
      </c>
      <c r="AR69">
        <f>VLOOKUP(AP69,'Hazard Weighting Functions'!$B$5:$G$1205,3,FALSE)</f>
        <v>0.01</v>
      </c>
      <c r="AS69">
        <f t="shared" si="23"/>
        <v>0.13171099999999999</v>
      </c>
      <c r="AT69">
        <f t="shared" si="24"/>
        <v>0.28354383675738204</v>
      </c>
      <c r="AU69" s="20">
        <f t="shared" si="11"/>
        <v>380</v>
      </c>
      <c r="AV69">
        <f>O69</f>
        <v>105368.79999999997</v>
      </c>
      <c r="AW69" s="19">
        <f>VLOOKUP(AU69,'Hazard Weighting Functions'!$B$5:$G$1205,3,FALSE)</f>
        <v>0.01</v>
      </c>
      <c r="AX69">
        <f t="shared" si="25"/>
        <v>1053.6879999999996</v>
      </c>
      <c r="AY69" s="19">
        <f t="shared" si="26"/>
        <v>2268.350694059056</v>
      </c>
      <c r="AZ69" s="20">
        <f t="shared" si="2"/>
        <v>380</v>
      </c>
      <c r="BA69" s="20">
        <f t="shared" si="3"/>
        <v>105368.8</v>
      </c>
      <c r="BB69" s="19">
        <f>VLOOKUP(AZ69,'Hazard Weighting Functions'!$B$5:$G$1205,3,FALSE)</f>
        <v>0.01</v>
      </c>
      <c r="BC69">
        <f t="shared" si="27"/>
        <v>1053.6880000000001</v>
      </c>
      <c r="BD69" s="19">
        <f t="shared" si="28"/>
        <v>2268.3506939310982</v>
      </c>
      <c r="BF69" s="20">
        <f t="shared" ref="BF69:BG69" si="77">H159</f>
        <v>550</v>
      </c>
      <c r="BG69" s="20">
        <f t="shared" si="77"/>
        <v>80.09320000000001</v>
      </c>
      <c r="BH69" s="19">
        <f>VLOOKUP(BF69,'Hazard Weighting Functions'!$B$5:$G$1205,4,FALSE)</f>
        <v>1</v>
      </c>
      <c r="BI69" s="19">
        <f t="shared" si="30"/>
        <v>80.09320000000001</v>
      </c>
      <c r="BJ69" s="19">
        <f t="shared" si="31"/>
        <v>406.73900000000003</v>
      </c>
      <c r="BK69" s="1">
        <f t="shared" si="7"/>
        <v>380</v>
      </c>
      <c r="BL69" s="20">
        <f t="shared" si="8"/>
        <v>105368.79999999997</v>
      </c>
      <c r="BM69">
        <f>VLOOKUP(BK69,'Hazard Weighting Functions'!$B$5:$G$1205,4,FALSE)</f>
        <v>0.1</v>
      </c>
      <c r="BN69">
        <f t="shared" si="76"/>
        <v>10536.879999999997</v>
      </c>
      <c r="BO69" s="19">
        <f t="shared" ref="BO69:BO132" si="78">0.5*(BK70-BK69)*(BN69+BN70)</f>
        <v>22683.507049955559</v>
      </c>
      <c r="BP69" s="20">
        <f t="shared" si="9"/>
        <v>380</v>
      </c>
      <c r="BQ69" s="20">
        <f t="shared" si="10"/>
        <v>105368.8</v>
      </c>
      <c r="BR69" s="19">
        <f>VLOOKUP(BP69,'Hazard Weighting Functions'!$B$5:$G$1205,4,FALSE)</f>
        <v>0.1</v>
      </c>
      <c r="BS69" s="19">
        <f t="shared" si="34"/>
        <v>10536.880000000001</v>
      </c>
      <c r="BT69" s="19">
        <f t="shared" si="35"/>
        <v>22683.50704867598</v>
      </c>
      <c r="BV69">
        <f>VLOOKUP(BK69,'Hazard Weighting Functions'!$B$5:$G$1205,5,FALSE)</f>
        <v>3.8999999999999999E-5</v>
      </c>
      <c r="BW69" s="24">
        <f t="shared" si="36"/>
        <v>4.109383199999999</v>
      </c>
      <c r="BX69" s="24">
        <f t="shared" si="37"/>
        <v>9.3417350176208451</v>
      </c>
    </row>
    <row r="70" spans="2:76">
      <c r="B70">
        <v>282</v>
      </c>
      <c r="C70" s="36">
        <v>0.91481412802690398</v>
      </c>
      <c r="E70">
        <v>282</v>
      </c>
      <c r="F70" s="36">
        <v>0.91481412802690398</v>
      </c>
      <c r="H70" s="19">
        <v>282</v>
      </c>
      <c r="I70" s="36">
        <v>0.91481412802690398</v>
      </c>
      <c r="K70">
        <v>1205</v>
      </c>
      <c r="L70" s="36">
        <f>1426.97436*(1628/1602)</f>
        <v>1450.1337441198502</v>
      </c>
      <c r="N70">
        <v>382</v>
      </c>
      <c r="O70" s="36">
        <v>109364.99941152101</v>
      </c>
      <c r="Q70" s="19">
        <v>382</v>
      </c>
      <c r="R70" s="36">
        <v>109364.9994</v>
      </c>
      <c r="V70">
        <f t="shared" si="12"/>
        <v>282</v>
      </c>
      <c r="W70">
        <f t="shared" si="13"/>
        <v>0.91481412802690398</v>
      </c>
      <c r="Y70">
        <f t="shared" si="14"/>
        <v>282</v>
      </c>
      <c r="Z70">
        <f t="shared" si="15"/>
        <v>0.91481412802690398</v>
      </c>
      <c r="AA70">
        <f>VLOOKUP(Y70,'Hazard Weighting Functions'!$B$5:$G$1205,2,FALSE)</f>
        <v>0.83420000000000005</v>
      </c>
      <c r="AB70">
        <f t="shared" si="16"/>
        <v>0.76313794560004333</v>
      </c>
      <c r="AC70">
        <f t="shared" si="17"/>
        <v>1.5490280414852891</v>
      </c>
      <c r="AE70">
        <f>VLOOKUP(Y70,'Hazard Weighting Functions'!$B$5:$G$1205,3,FALSE)</f>
        <v>0</v>
      </c>
      <c r="AF70">
        <f t="shared" si="18"/>
        <v>0</v>
      </c>
      <c r="AG70">
        <f t="shared" si="19"/>
        <v>0</v>
      </c>
      <c r="AH70">
        <f>VLOOKUP(Y70,'Hazard Weighting Functions'!$B$5:$G$1205,5,FALSE)</f>
        <v>0</v>
      </c>
      <c r="AI70">
        <f t="shared" si="20"/>
        <v>0</v>
      </c>
      <c r="AJ70">
        <f t="shared" si="21"/>
        <v>0</v>
      </c>
      <c r="AP70" s="20">
        <f>'IEC_EN62471- Halogen non-GLS'!E120</f>
        <v>382</v>
      </c>
      <c r="AQ70" s="20">
        <f t="shared" si="22"/>
        <v>13.670624926440128</v>
      </c>
      <c r="AR70">
        <f>VLOOKUP(AP70,'Hazard Weighting Functions'!$B$5:$G$1205,3,FALSE)</f>
        <v>1.1106503E-2</v>
      </c>
      <c r="AS70">
        <f t="shared" si="23"/>
        <v>0.15183283675738207</v>
      </c>
      <c r="AT70">
        <f t="shared" si="24"/>
        <v>0.32673345635783668</v>
      </c>
      <c r="AU70" s="20">
        <f t="shared" si="11"/>
        <v>382</v>
      </c>
      <c r="AV70">
        <f>O70</f>
        <v>109364.99941152101</v>
      </c>
      <c r="AW70" s="19">
        <f>VLOOKUP(AU70,'Hazard Weighting Functions'!$B$5:$G$1205,3,FALSE)</f>
        <v>1.1106503E-2</v>
      </c>
      <c r="AX70">
        <f t="shared" si="25"/>
        <v>1214.6626940590563</v>
      </c>
      <c r="AY70" s="19">
        <f t="shared" si="26"/>
        <v>2613.8676508626932</v>
      </c>
      <c r="AZ70" s="20">
        <f t="shared" si="2"/>
        <v>382</v>
      </c>
      <c r="BA70" s="20">
        <f t="shared" si="3"/>
        <v>109364.9994</v>
      </c>
      <c r="BB70" s="19">
        <f>VLOOKUP(AZ70,'Hazard Weighting Functions'!$B$5:$G$1205,3,FALSE)</f>
        <v>1.1106503E-2</v>
      </c>
      <c r="BC70">
        <f t="shared" si="27"/>
        <v>1214.6626939310981</v>
      </c>
      <c r="BD70" s="19">
        <f t="shared" si="28"/>
        <v>2613.8676502244366</v>
      </c>
      <c r="BF70" s="20">
        <f t="shared" ref="BF70:BG70" si="79">H160</f>
        <v>555</v>
      </c>
      <c r="BG70" s="20">
        <f t="shared" si="79"/>
        <v>82.602400000000003</v>
      </c>
      <c r="BH70" s="19">
        <f>VLOOKUP(BF70,'Hazard Weighting Functions'!$B$5:$G$1205,4,FALSE)</f>
        <v>1</v>
      </c>
      <c r="BI70" s="19">
        <f t="shared" si="30"/>
        <v>82.602400000000003</v>
      </c>
      <c r="BJ70" s="19">
        <f t="shared" si="31"/>
        <v>418.85924999999997</v>
      </c>
      <c r="BK70" s="1">
        <f t="shared" si="7"/>
        <v>382</v>
      </c>
      <c r="BL70" s="20">
        <f t="shared" si="8"/>
        <v>109364.99941152101</v>
      </c>
      <c r="BM70">
        <f>VLOOKUP(BK70,'Hazard Weighting Functions'!$B$5:$G$1205,4,FALSE)</f>
        <v>0.11106503099999999</v>
      </c>
      <c r="BN70">
        <f t="shared" si="76"/>
        <v>12146.627049955563</v>
      </c>
      <c r="BO70" s="19">
        <f t="shared" si="78"/>
        <v>26138.676617991929</v>
      </c>
      <c r="BP70" s="20">
        <f t="shared" si="9"/>
        <v>382</v>
      </c>
      <c r="BQ70" s="20">
        <f t="shared" si="10"/>
        <v>109364.9994</v>
      </c>
      <c r="BR70" s="19">
        <f>VLOOKUP(BP70,'Hazard Weighting Functions'!$B$5:$G$1205,4,FALSE)</f>
        <v>0.11106503099999999</v>
      </c>
      <c r="BS70" s="19">
        <f t="shared" si="34"/>
        <v>12146.62704867598</v>
      </c>
      <c r="BT70" s="19">
        <f t="shared" si="35"/>
        <v>26138.676611609364</v>
      </c>
      <c r="BV70">
        <f>VLOOKUP(BK70,'Hazard Weighting Functions'!$B$5:$G$1205,5,FALSE)</f>
        <v>4.784301966603079E-5</v>
      </c>
      <c r="BW70" s="24">
        <f t="shared" si="36"/>
        <v>5.2323518176208452</v>
      </c>
      <c r="BX70" s="24">
        <f t="shared" si="37"/>
        <v>11.749720940767382</v>
      </c>
    </row>
    <row r="71" spans="2:76">
      <c r="B71">
        <v>284</v>
      </c>
      <c r="C71" s="36">
        <v>0.99379121887360367</v>
      </c>
      <c r="E71">
        <v>284</v>
      </c>
      <c r="F71" s="36">
        <v>0.99379121887360367</v>
      </c>
      <c r="H71" s="19">
        <v>284</v>
      </c>
      <c r="I71" s="36">
        <v>0.99379121887360367</v>
      </c>
      <c r="K71">
        <v>1210</v>
      </c>
      <c r="L71" s="36">
        <f>1418.22348*(1628/1602)</f>
        <v>1441.2408398501873</v>
      </c>
      <c r="N71">
        <v>384</v>
      </c>
      <c r="O71" s="36">
        <v>113429.66634136847</v>
      </c>
      <c r="Q71" s="19">
        <v>384</v>
      </c>
      <c r="R71" s="36">
        <v>113429.6663</v>
      </c>
      <c r="V71">
        <f t="shared" si="12"/>
        <v>284</v>
      </c>
      <c r="W71">
        <f t="shared" si="13"/>
        <v>0.99379121887360367</v>
      </c>
      <c r="Y71">
        <f t="shared" si="14"/>
        <v>284</v>
      </c>
      <c r="Z71">
        <f t="shared" si="15"/>
        <v>0.99379121887360367</v>
      </c>
      <c r="AA71">
        <f>VLOOKUP(Y71,'Hazard Weighting Functions'!$B$5:$G$1205,2,FALSE)</f>
        <v>0.79079999999999995</v>
      </c>
      <c r="AB71">
        <f t="shared" si="16"/>
        <v>0.78589009588524572</v>
      </c>
      <c r="AC71">
        <f t="shared" si="17"/>
        <v>1.58361122500706</v>
      </c>
      <c r="AE71">
        <f>VLOOKUP(Y71,'Hazard Weighting Functions'!$B$5:$G$1205,3,FALSE)</f>
        <v>0</v>
      </c>
      <c r="AF71">
        <f t="shared" si="18"/>
        <v>0</v>
      </c>
      <c r="AG71">
        <f t="shared" si="19"/>
        <v>0</v>
      </c>
      <c r="AH71">
        <f>VLOOKUP(Y71,'Hazard Weighting Functions'!$B$5:$G$1205,5,FALSE)</f>
        <v>0</v>
      </c>
      <c r="AI71">
        <f t="shared" si="20"/>
        <v>0</v>
      </c>
      <c r="AJ71">
        <f t="shared" si="21"/>
        <v>0</v>
      </c>
      <c r="AP71" s="20">
        <f>'IEC_EN62471- Halogen non-GLS'!E121</f>
        <v>384</v>
      </c>
      <c r="AQ71" s="20">
        <f t="shared" si="22"/>
        <v>14.178708292671061</v>
      </c>
      <c r="AR71">
        <f>VLOOKUP(AP71,'Hazard Weighting Functions'!$B$5:$G$1205,3,FALSE)</f>
        <v>1.2335441000000001E-2</v>
      </c>
      <c r="AS71">
        <f t="shared" si="23"/>
        <v>0.17490061960045461</v>
      </c>
      <c r="AT71">
        <f t="shared" si="24"/>
        <v>0.39237614151327882</v>
      </c>
      <c r="AU71" s="20">
        <f t="shared" si="11"/>
        <v>384</v>
      </c>
      <c r="AV71">
        <f>O71</f>
        <v>113429.66634136847</v>
      </c>
      <c r="AW71" s="19">
        <f>VLOOKUP(AU71,'Hazard Weighting Functions'!$B$5:$G$1205,3,FALSE)</f>
        <v>1.2335441000000001E-2</v>
      </c>
      <c r="AX71">
        <f t="shared" si="25"/>
        <v>1399.2049568036368</v>
      </c>
      <c r="AY71" s="19">
        <f t="shared" si="26"/>
        <v>3139.00913210623</v>
      </c>
      <c r="AZ71" s="20">
        <f t="shared" si="2"/>
        <v>384</v>
      </c>
      <c r="BA71" s="20">
        <f t="shared" si="3"/>
        <v>113429.6663</v>
      </c>
      <c r="BB71" s="19">
        <f>VLOOKUP(AZ71,'Hazard Weighting Functions'!$B$5:$G$1205,3,FALSE)</f>
        <v>1.2335441000000001E-2</v>
      </c>
      <c r="BC71">
        <f t="shared" si="27"/>
        <v>1399.2049562933385</v>
      </c>
      <c r="BD71" s="19">
        <f t="shared" si="28"/>
        <v>3139.0091309786985</v>
      </c>
      <c r="BF71" s="20">
        <f t="shared" ref="BF71:BG71" si="80">H161</f>
        <v>560</v>
      </c>
      <c r="BG71" s="20">
        <f t="shared" si="80"/>
        <v>84.941299999999998</v>
      </c>
      <c r="BH71" s="19">
        <f>VLOOKUP(BF71,'Hazard Weighting Functions'!$B$5:$G$1205,4,FALSE)</f>
        <v>1</v>
      </c>
      <c r="BI71" s="19">
        <f t="shared" si="30"/>
        <v>84.941299999999998</v>
      </c>
      <c r="BJ71" s="19">
        <f t="shared" si="31"/>
        <v>429.94124999999997</v>
      </c>
      <c r="BK71" s="1">
        <f t="shared" si="7"/>
        <v>384</v>
      </c>
      <c r="BL71" s="20">
        <f t="shared" si="8"/>
        <v>113429.66634136847</v>
      </c>
      <c r="BM71">
        <f>VLOOKUP(BK71,'Hazard Weighting Functions'!$B$5:$G$1205,4,FALSE)</f>
        <v>0.12335441</v>
      </c>
      <c r="BN71">
        <f t="shared" si="76"/>
        <v>13992.049568036366</v>
      </c>
      <c r="BO71" s="19">
        <f t="shared" si="78"/>
        <v>31390.090851365429</v>
      </c>
      <c r="BP71" s="20">
        <f t="shared" si="9"/>
        <v>384</v>
      </c>
      <c r="BQ71" s="20">
        <f t="shared" si="10"/>
        <v>113429.6663</v>
      </c>
      <c r="BR71" s="19">
        <f>VLOOKUP(BP71,'Hazard Weighting Functions'!$B$5:$G$1205,4,FALSE)</f>
        <v>0.12335441</v>
      </c>
      <c r="BS71" s="19">
        <f t="shared" si="34"/>
        <v>13992.049562933382</v>
      </c>
      <c r="BT71" s="19">
        <f t="shared" si="35"/>
        <v>31390.09084009011</v>
      </c>
      <c r="BV71">
        <f>VLOOKUP(BK71,'Hazard Weighting Functions'!$B$5:$G$1205,5,FALSE)</f>
        <v>5.7457359554707719E-5</v>
      </c>
      <c r="BW71" s="24">
        <f t="shared" si="36"/>
        <v>6.517369123146536</v>
      </c>
      <c r="BX71" s="24">
        <f t="shared" si="37"/>
        <v>15.011048026711119</v>
      </c>
    </row>
    <row r="72" spans="2:76">
      <c r="B72">
        <v>286</v>
      </c>
      <c r="C72" s="36">
        <v>1.075095861350154</v>
      </c>
      <c r="E72">
        <v>286</v>
      </c>
      <c r="F72" s="36">
        <v>1.075095861350154</v>
      </c>
      <c r="H72" s="19">
        <v>286</v>
      </c>
      <c r="I72" s="36">
        <v>1.075095861350154</v>
      </c>
      <c r="K72">
        <v>1215</v>
      </c>
      <c r="L72" s="36">
        <f>1409.4726*(1628/1602)</f>
        <v>1432.3479355805243</v>
      </c>
      <c r="N72">
        <v>386</v>
      </c>
      <c r="O72" s="36">
        <v>117424.21744165879</v>
      </c>
      <c r="Q72" s="19">
        <v>386</v>
      </c>
      <c r="R72" s="36">
        <v>117424.21739999999</v>
      </c>
      <c r="V72">
        <f t="shared" si="12"/>
        <v>286</v>
      </c>
      <c r="W72">
        <f t="shared" si="13"/>
        <v>1.075095861350154</v>
      </c>
      <c r="Y72">
        <f t="shared" si="14"/>
        <v>286</v>
      </c>
      <c r="Z72">
        <f t="shared" si="15"/>
        <v>1.075095861350154</v>
      </c>
      <c r="AA72">
        <f>VLOOKUP(Y72,'Hazard Weighting Functions'!$B$5:$G$1205,2,FALSE)</f>
        <v>0.74199999999999999</v>
      </c>
      <c r="AB72">
        <f t="shared" si="16"/>
        <v>0.79772112912181425</v>
      </c>
      <c r="AC72">
        <f t="shared" si="17"/>
        <v>1.5963578554863354</v>
      </c>
      <c r="AE72">
        <f>VLOOKUP(Y72,'Hazard Weighting Functions'!$B$5:$G$1205,3,FALSE)</f>
        <v>0</v>
      </c>
      <c r="AF72">
        <f t="shared" si="18"/>
        <v>0</v>
      </c>
      <c r="AG72">
        <f t="shared" si="19"/>
        <v>0</v>
      </c>
      <c r="AH72">
        <f>VLOOKUP(Y72,'Hazard Weighting Functions'!$B$5:$G$1205,5,FALSE)</f>
        <v>0</v>
      </c>
      <c r="AI72">
        <f t="shared" si="20"/>
        <v>0</v>
      </c>
      <c r="AJ72">
        <f t="shared" si="21"/>
        <v>0</v>
      </c>
      <c r="AP72" s="20">
        <f>'IEC_EN62471- Halogen non-GLS'!E122</f>
        <v>386</v>
      </c>
      <c r="AQ72" s="20">
        <f t="shared" si="22"/>
        <v>14.678027180207351</v>
      </c>
      <c r="AR72">
        <f>VLOOKUP(AP72,'Hazard Weighting Functions'!$B$5:$G$1205,3,FALSE)</f>
        <v>1.48164E-2</v>
      </c>
      <c r="AS72">
        <f t="shared" si="23"/>
        <v>0.21747552191282421</v>
      </c>
      <c r="AT72">
        <f t="shared" si="24"/>
        <v>0.50942565290192054</v>
      </c>
      <c r="AU72" s="20">
        <f t="shared" si="11"/>
        <v>386</v>
      </c>
      <c r="AV72">
        <f>O72</f>
        <v>117424.21744165879</v>
      </c>
      <c r="AW72" s="19">
        <f>VLOOKUP(AU72,'Hazard Weighting Functions'!$B$5:$G$1205,3,FALSE)</f>
        <v>1.48164E-2</v>
      </c>
      <c r="AX72">
        <f t="shared" si="25"/>
        <v>1739.8041753025934</v>
      </c>
      <c r="AY72" s="19">
        <f t="shared" si="26"/>
        <v>4075.4052232153626</v>
      </c>
      <c r="AZ72" s="20">
        <f t="shared" si="2"/>
        <v>386</v>
      </c>
      <c r="BA72" s="20">
        <f t="shared" si="3"/>
        <v>117424.21739999999</v>
      </c>
      <c r="BB72" s="19">
        <f>VLOOKUP(AZ72,'Hazard Weighting Functions'!$B$5:$G$1205,3,FALSE)</f>
        <v>1.48164E-2</v>
      </c>
      <c r="BC72">
        <f t="shared" si="27"/>
        <v>1739.8041746853601</v>
      </c>
      <c r="BD72" s="19">
        <f t="shared" si="28"/>
        <v>4075.4052223652207</v>
      </c>
      <c r="BF72" s="20">
        <f t="shared" ref="BF72:BG72" si="81">H162</f>
        <v>565</v>
      </c>
      <c r="BG72" s="20">
        <f t="shared" si="81"/>
        <v>87.035200000000003</v>
      </c>
      <c r="BH72" s="19">
        <f>VLOOKUP(BF72,'Hazard Weighting Functions'!$B$5:$G$1205,4,FALSE)</f>
        <v>1</v>
      </c>
      <c r="BI72" s="19">
        <f t="shared" si="30"/>
        <v>87.035200000000003</v>
      </c>
      <c r="BJ72" s="19">
        <f t="shared" si="31"/>
        <v>440.86725000000001</v>
      </c>
      <c r="BK72" s="1">
        <f t="shared" si="7"/>
        <v>386</v>
      </c>
      <c r="BL72" s="20">
        <f t="shared" si="8"/>
        <v>117424.21744165879</v>
      </c>
      <c r="BM72">
        <f>VLOOKUP(BK72,'Hazard Weighting Functions'!$B$5:$G$1205,4,FALSE)</f>
        <v>0.14816399599999999</v>
      </c>
      <c r="BN72">
        <f t="shared" si="76"/>
        <v>17398.041283329065</v>
      </c>
      <c r="BO72" s="19">
        <f t="shared" si="78"/>
        <v>40754.052126521463</v>
      </c>
      <c r="BP72" s="20">
        <f t="shared" si="9"/>
        <v>386</v>
      </c>
      <c r="BQ72" s="20">
        <f t="shared" si="10"/>
        <v>117424.21739999999</v>
      </c>
      <c r="BR72" s="19">
        <f>VLOOKUP(BP72,'Hazard Weighting Functions'!$B$5:$G$1205,4,FALSE)</f>
        <v>0.14816399599999999</v>
      </c>
      <c r="BS72" s="19">
        <f t="shared" si="34"/>
        <v>17398.041277156728</v>
      </c>
      <c r="BT72" s="19">
        <f t="shared" si="35"/>
        <v>40754.052118020045</v>
      </c>
      <c r="BV72">
        <f>VLOOKUP(BK72,'Hazard Weighting Functions'!$B$5:$G$1205,5,FALSE)</f>
        <v>7.2333280890584555E-5</v>
      </c>
      <c r="BW72" s="24">
        <f t="shared" si="36"/>
        <v>8.4936789035645841</v>
      </c>
      <c r="BX72" s="24">
        <f t="shared" si="37"/>
        <v>19.876145194287037</v>
      </c>
    </row>
    <row r="73" spans="2:76">
      <c r="B73">
        <v>288</v>
      </c>
      <c r="C73" s="36">
        <v>1.1589562129800046</v>
      </c>
      <c r="E73">
        <v>288</v>
      </c>
      <c r="F73" s="36">
        <v>1.1589562129800046</v>
      </c>
      <c r="H73" s="19">
        <v>288</v>
      </c>
      <c r="I73" s="36">
        <v>1.1589562129800046</v>
      </c>
      <c r="K73">
        <v>1220</v>
      </c>
      <c r="L73" s="36">
        <f>1400.72172*(1628/1602)</f>
        <v>1423.4550313108614</v>
      </c>
      <c r="N73">
        <v>388</v>
      </c>
      <c r="O73" s="36">
        <v>121354.90161210165</v>
      </c>
      <c r="Q73" s="19">
        <v>388</v>
      </c>
      <c r="R73" s="36">
        <v>121354.9016</v>
      </c>
      <c r="V73">
        <f t="shared" si="12"/>
        <v>288</v>
      </c>
      <c r="W73">
        <f t="shared" si="13"/>
        <v>1.1589562129800046</v>
      </c>
      <c r="Y73">
        <f t="shared" si="14"/>
        <v>288</v>
      </c>
      <c r="Z73">
        <f t="shared" si="15"/>
        <v>1.1589562129800046</v>
      </c>
      <c r="AA73">
        <f>VLOOKUP(Y73,'Hazard Weighting Functions'!$B$5:$G$1205,2,FALSE)</f>
        <v>0.68910000000000005</v>
      </c>
      <c r="AB73">
        <f t="shared" si="16"/>
        <v>0.79863672636452121</v>
      </c>
      <c r="AC73">
        <f t="shared" si="17"/>
        <v>1.5980671263645212</v>
      </c>
      <c r="AE73">
        <f>VLOOKUP(Y73,'Hazard Weighting Functions'!$B$5:$G$1205,3,FALSE)</f>
        <v>0</v>
      </c>
      <c r="AF73">
        <f t="shared" si="18"/>
        <v>0</v>
      </c>
      <c r="AG73">
        <f t="shared" si="19"/>
        <v>0</v>
      </c>
      <c r="AH73">
        <f>VLOOKUP(Y73,'Hazard Weighting Functions'!$B$5:$G$1205,5,FALSE)</f>
        <v>0</v>
      </c>
      <c r="AI73">
        <f t="shared" si="20"/>
        <v>0</v>
      </c>
      <c r="AJ73">
        <f t="shared" si="21"/>
        <v>0</v>
      </c>
      <c r="AP73" s="20">
        <f>'IEC_EN62471- Halogen non-GLS'!E123</f>
        <v>388</v>
      </c>
      <c r="AQ73" s="20">
        <f t="shared" si="22"/>
        <v>15.169362701512709</v>
      </c>
      <c r="AR73">
        <f>VLOOKUP(AP73,'Hazard Weighting Functions'!$B$5:$G$1205,3,FALSE)</f>
        <v>1.9246038E-2</v>
      </c>
      <c r="AS73">
        <f t="shared" si="23"/>
        <v>0.29195013098909628</v>
      </c>
      <c r="AT73">
        <f t="shared" si="24"/>
        <v>0.68374013098909636</v>
      </c>
      <c r="AU73" s="20">
        <f t="shared" si="11"/>
        <v>388</v>
      </c>
      <c r="AV73">
        <f>O73</f>
        <v>121354.90161210165</v>
      </c>
      <c r="AW73" s="19">
        <f>VLOOKUP(AU73,'Hazard Weighting Functions'!$B$5:$G$1205,3,FALSE)</f>
        <v>1.9246038E-2</v>
      </c>
      <c r="AX73">
        <f t="shared" si="25"/>
        <v>2335.6010479127694</v>
      </c>
      <c r="AY73" s="19">
        <f t="shared" si="26"/>
        <v>5469.9210479127696</v>
      </c>
      <c r="AZ73" s="20">
        <f t="shared" si="2"/>
        <v>388</v>
      </c>
      <c r="BA73" s="20">
        <f t="shared" si="3"/>
        <v>121354.9016</v>
      </c>
      <c r="BB73" s="19">
        <f>VLOOKUP(AZ73,'Hazard Weighting Functions'!$B$5:$G$1205,3,FALSE)</f>
        <v>1.9246038E-2</v>
      </c>
      <c r="BC73">
        <f t="shared" si="27"/>
        <v>2335.6010476798606</v>
      </c>
      <c r="BD73" s="19">
        <f t="shared" si="28"/>
        <v>5469.9210476798607</v>
      </c>
      <c r="BF73" s="20">
        <f t="shared" ref="BF73:BG73" si="82">H163</f>
        <v>570</v>
      </c>
      <c r="BG73" s="20">
        <f t="shared" si="82"/>
        <v>89.311700000000002</v>
      </c>
      <c r="BH73" s="19">
        <f>VLOOKUP(BF73,'Hazard Weighting Functions'!$B$5:$G$1205,4,FALSE)</f>
        <v>1</v>
      </c>
      <c r="BI73" s="19">
        <f t="shared" si="30"/>
        <v>89.311700000000002</v>
      </c>
      <c r="BJ73" s="19">
        <f t="shared" si="31"/>
        <v>452.52749999999997</v>
      </c>
      <c r="BK73" s="1">
        <f t="shared" si="7"/>
        <v>388</v>
      </c>
      <c r="BL73" s="20">
        <f t="shared" si="8"/>
        <v>121354.90161210165</v>
      </c>
      <c r="BM73">
        <f>VLOOKUP(BK73,'Hazard Weighting Functions'!$B$5:$G$1205,4,FALSE)</f>
        <v>0.19246038300000001</v>
      </c>
      <c r="BN73">
        <f t="shared" si="76"/>
        <v>23356.010843192402</v>
      </c>
      <c r="BO73" s="19">
        <f t="shared" si="78"/>
        <v>54699.210843192399</v>
      </c>
      <c r="BP73" s="20">
        <f t="shared" si="9"/>
        <v>388</v>
      </c>
      <c r="BQ73" s="20">
        <f t="shared" si="10"/>
        <v>121354.9016</v>
      </c>
      <c r="BR73" s="19">
        <f>VLOOKUP(BP73,'Hazard Weighting Functions'!$B$5:$G$1205,4,FALSE)</f>
        <v>0.19246038300000001</v>
      </c>
      <c r="BS73" s="19">
        <f t="shared" si="34"/>
        <v>23356.010840863313</v>
      </c>
      <c r="BT73" s="19">
        <f t="shared" si="35"/>
        <v>54699.210840863314</v>
      </c>
      <c r="BV73">
        <f>VLOOKUP(BK73,'Hazard Weighting Functions'!$B$5:$G$1205,5,FALSE)</f>
        <v>9.3794862337784476E-5</v>
      </c>
      <c r="BW73" s="24">
        <f t="shared" si="36"/>
        <v>11.382466290722453</v>
      </c>
      <c r="BX73" s="24">
        <f t="shared" si="37"/>
        <v>26.427202290722455</v>
      </c>
    </row>
    <row r="74" spans="2:76">
      <c r="B74">
        <v>290</v>
      </c>
      <c r="C74" s="36">
        <v>1.2491099999999999</v>
      </c>
      <c r="E74">
        <v>290</v>
      </c>
      <c r="F74" s="36">
        <v>1.2491099999999999</v>
      </c>
      <c r="H74" s="19">
        <v>290</v>
      </c>
      <c r="I74" s="36">
        <v>1.2491099999999999</v>
      </c>
      <c r="K74">
        <v>1225</v>
      </c>
      <c r="L74" s="36">
        <f>1391.95848*(1628/1602)</f>
        <v>1414.5495664419475</v>
      </c>
      <c r="N74">
        <v>390</v>
      </c>
      <c r="O74" s="36">
        <v>125372.8</v>
      </c>
      <c r="Q74" s="19">
        <v>390</v>
      </c>
      <c r="R74" s="36">
        <v>125372.8</v>
      </c>
      <c r="V74">
        <f t="shared" si="12"/>
        <v>290</v>
      </c>
      <c r="W74">
        <f t="shared" si="13"/>
        <v>1.2491099999999999</v>
      </c>
      <c r="Y74">
        <f t="shared" si="14"/>
        <v>290</v>
      </c>
      <c r="Z74">
        <f t="shared" si="15"/>
        <v>1.2491099999999999</v>
      </c>
      <c r="AA74">
        <f>VLOOKUP(Y74,'Hazard Weighting Functions'!$B$5:$G$1205,2,FALSE)</f>
        <v>0.64</v>
      </c>
      <c r="AB74">
        <f t="shared" si="16"/>
        <v>0.79943039999999999</v>
      </c>
      <c r="AC74">
        <f t="shared" si="17"/>
        <v>1.6056101534216496</v>
      </c>
      <c r="AE74">
        <f>VLOOKUP(Y74,'Hazard Weighting Functions'!$B$5:$G$1205,3,FALSE)</f>
        <v>0</v>
      </c>
      <c r="AF74">
        <f t="shared" si="18"/>
        <v>0</v>
      </c>
      <c r="AG74">
        <f t="shared" si="19"/>
        <v>0</v>
      </c>
      <c r="AH74">
        <f>VLOOKUP(Y74,'Hazard Weighting Functions'!$B$5:$G$1205,5,FALSE)</f>
        <v>0</v>
      </c>
      <c r="AI74">
        <f t="shared" si="20"/>
        <v>0</v>
      </c>
      <c r="AJ74">
        <f t="shared" si="21"/>
        <v>0</v>
      </c>
      <c r="AP74" s="20">
        <f>'IEC_EN62471- Halogen non-GLS'!E124</f>
        <v>390</v>
      </c>
      <c r="AQ74" s="20">
        <f t="shared" si="22"/>
        <v>15.671600000000002</v>
      </c>
      <c r="AR74">
        <f>VLOOKUP(AP74,'Hazard Weighting Functions'!$B$5:$G$1205,3,FALSE)</f>
        <v>2.5000000000000001E-2</v>
      </c>
      <c r="AS74">
        <f t="shared" si="23"/>
        <v>0.39179000000000008</v>
      </c>
      <c r="AT74">
        <f t="shared" si="24"/>
        <v>0.9261574338957691</v>
      </c>
      <c r="AU74" s="20">
        <f t="shared" si="11"/>
        <v>390</v>
      </c>
      <c r="AV74">
        <f>O74</f>
        <v>125372.8</v>
      </c>
      <c r="AW74" s="19">
        <f>VLOOKUP(AU74,'Hazard Weighting Functions'!$B$5:$G$1205,3,FALSE)</f>
        <v>2.5000000000000001E-2</v>
      </c>
      <c r="AX74">
        <f t="shared" si="25"/>
        <v>3134.32</v>
      </c>
      <c r="AY74" s="19">
        <f t="shared" si="26"/>
        <v>7409.2594711661513</v>
      </c>
      <c r="AZ74" s="20">
        <f t="shared" si="2"/>
        <v>390</v>
      </c>
      <c r="BA74" s="20">
        <f t="shared" si="3"/>
        <v>125372.8</v>
      </c>
      <c r="BB74" s="19">
        <f>VLOOKUP(AZ74,'Hazard Weighting Functions'!$B$5:$G$1205,3,FALSE)</f>
        <v>2.5000000000000001E-2</v>
      </c>
      <c r="BC74">
        <f t="shared" si="27"/>
        <v>3134.32</v>
      </c>
      <c r="BD74" s="19">
        <f t="shared" si="28"/>
        <v>7409.2594698697594</v>
      </c>
      <c r="BF74" s="20">
        <f t="shared" ref="BF74:BG74" si="83">H164</f>
        <v>575</v>
      </c>
      <c r="BG74" s="20">
        <f t="shared" si="83"/>
        <v>91.699299999999994</v>
      </c>
      <c r="BH74" s="19">
        <f>VLOOKUP(BF74,'Hazard Weighting Functions'!$B$5:$G$1205,4,FALSE)</f>
        <v>1</v>
      </c>
      <c r="BI74" s="19">
        <f t="shared" si="30"/>
        <v>91.699299999999994</v>
      </c>
      <c r="BJ74" s="19">
        <f t="shared" si="31"/>
        <v>464.15224999999998</v>
      </c>
      <c r="BK74" s="1">
        <f t="shared" si="7"/>
        <v>390</v>
      </c>
      <c r="BL74" s="20">
        <f t="shared" si="8"/>
        <v>125372.8</v>
      </c>
      <c r="BM74">
        <f>VLOOKUP(BK74,'Hazard Weighting Functions'!$B$5:$G$1205,4,FALSE)</f>
        <v>0.25</v>
      </c>
      <c r="BN74">
        <f t="shared" si="76"/>
        <v>31343.200000000001</v>
      </c>
      <c r="BO74" s="19">
        <f t="shared" si="78"/>
        <v>74092.594452477657</v>
      </c>
      <c r="BP74" s="20">
        <f t="shared" si="9"/>
        <v>390</v>
      </c>
      <c r="BQ74" s="20">
        <f t="shared" si="10"/>
        <v>125372.8</v>
      </c>
      <c r="BR74" s="19">
        <f>VLOOKUP(BP74,'Hazard Weighting Functions'!$B$5:$G$1205,4,FALSE)</f>
        <v>0.25</v>
      </c>
      <c r="BS74" s="19">
        <f t="shared" si="34"/>
        <v>31343.200000000001</v>
      </c>
      <c r="BT74" s="19">
        <f t="shared" si="35"/>
        <v>74092.594439513734</v>
      </c>
      <c r="BV74">
        <f>VLOOKUP(BK74,'Hazard Weighting Functions'!$B$5:$G$1205,5,FALSE)</f>
        <v>1.2E-4</v>
      </c>
      <c r="BW74" s="24">
        <f t="shared" si="36"/>
        <v>15.044736</v>
      </c>
      <c r="BX74" s="24">
        <f t="shared" si="37"/>
        <v>34.54669038585309</v>
      </c>
    </row>
    <row r="75" spans="2:76">
      <c r="B75">
        <v>292</v>
      </c>
      <c r="C75" s="36">
        <v>1.3481266779626249</v>
      </c>
      <c r="E75">
        <v>292</v>
      </c>
      <c r="F75" s="36">
        <v>1.3481266779626249</v>
      </c>
      <c r="H75" s="19">
        <v>292</v>
      </c>
      <c r="I75" s="36">
        <v>1.3481266779626249</v>
      </c>
      <c r="K75">
        <v>1230</v>
      </c>
      <c r="L75" s="36">
        <f>1383.2076*(1628/1602)</f>
        <v>1405.6566621722848</v>
      </c>
      <c r="N75">
        <v>392</v>
      </c>
      <c r="O75" s="36">
        <v>129591.93063929927</v>
      </c>
      <c r="Q75" s="19">
        <v>392</v>
      </c>
      <c r="R75" s="36">
        <v>129591.93060000001</v>
      </c>
      <c r="V75">
        <f t="shared" si="12"/>
        <v>292</v>
      </c>
      <c r="W75">
        <f t="shared" si="13"/>
        <v>1.3481266779626249</v>
      </c>
      <c r="Y75">
        <f t="shared" si="14"/>
        <v>292</v>
      </c>
      <c r="Z75">
        <f t="shared" si="15"/>
        <v>1.3481266779626249</v>
      </c>
      <c r="AA75">
        <f>VLOOKUP(Y75,'Hazard Weighting Functions'!$B$5:$G$1205,2,FALSE)</f>
        <v>0.59799999999999998</v>
      </c>
      <c r="AB75">
        <f t="shared" si="16"/>
        <v>0.8061797534216496</v>
      </c>
      <c r="AC75">
        <f t="shared" si="17"/>
        <v>1.6181341390315147</v>
      </c>
      <c r="AE75">
        <f>VLOOKUP(Y75,'Hazard Weighting Functions'!$B$5:$G$1205,3,FALSE)</f>
        <v>0</v>
      </c>
      <c r="AF75">
        <f t="shared" si="18"/>
        <v>0</v>
      </c>
      <c r="AG75">
        <f t="shared" si="19"/>
        <v>0</v>
      </c>
      <c r="AH75">
        <f>VLOOKUP(Y75,'Hazard Weighting Functions'!$B$5:$G$1205,5,FALSE)</f>
        <v>0</v>
      </c>
      <c r="AI75">
        <f t="shared" si="20"/>
        <v>0</v>
      </c>
      <c r="AJ75">
        <f t="shared" si="21"/>
        <v>0</v>
      </c>
      <c r="AP75" s="20">
        <f>'IEC_EN62471- Halogen non-GLS'!E125</f>
        <v>392</v>
      </c>
      <c r="AQ75" s="20">
        <f t="shared" si="22"/>
        <v>16.19899132991241</v>
      </c>
      <c r="AR75">
        <f>VLOOKUP(AP75,'Hazard Weighting Functions'!$B$5:$G$1205,3,FALSE)</f>
        <v>3.2987698000000003E-2</v>
      </c>
      <c r="AS75">
        <f t="shared" si="23"/>
        <v>0.53436743389576902</v>
      </c>
      <c r="AT75">
        <f t="shared" si="24"/>
        <v>1.2631971012081509</v>
      </c>
      <c r="AU75" s="20">
        <f t="shared" si="11"/>
        <v>392</v>
      </c>
      <c r="AV75">
        <f>O75</f>
        <v>129591.93063929927</v>
      </c>
      <c r="AW75" s="19">
        <f>VLOOKUP(AU75,'Hazard Weighting Functions'!$B$5:$G$1205,3,FALSE)</f>
        <v>3.2987698000000003E-2</v>
      </c>
      <c r="AX75">
        <f t="shared" si="25"/>
        <v>4274.9394711661516</v>
      </c>
      <c r="AY75" s="19">
        <f t="shared" si="26"/>
        <v>10105.576809665206</v>
      </c>
      <c r="AZ75" s="20">
        <f t="shared" si="2"/>
        <v>392</v>
      </c>
      <c r="BA75" s="20">
        <f t="shared" si="3"/>
        <v>129591.93060000001</v>
      </c>
      <c r="BB75" s="19">
        <f>VLOOKUP(AZ75,'Hazard Weighting Functions'!$B$5:$G$1205,3,FALSE)</f>
        <v>3.2987698000000003E-2</v>
      </c>
      <c r="BC75">
        <f t="shared" si="27"/>
        <v>4274.9394698697597</v>
      </c>
      <c r="BD75" s="19">
        <f t="shared" si="28"/>
        <v>10105.576808649896</v>
      </c>
      <c r="BF75" s="20">
        <f t="shared" ref="BF75:BG75" si="84">H165</f>
        <v>580</v>
      </c>
      <c r="BG75" s="20">
        <f t="shared" si="84"/>
        <v>93.961600000000004</v>
      </c>
      <c r="BH75" s="19">
        <f>VLOOKUP(BF75,'Hazard Weighting Functions'!$B$5:$G$1205,4,FALSE)</f>
        <v>1</v>
      </c>
      <c r="BI75" s="19">
        <f t="shared" si="30"/>
        <v>93.961600000000004</v>
      </c>
      <c r="BJ75" s="19">
        <f t="shared" si="31"/>
        <v>475.15</v>
      </c>
      <c r="BK75" s="1">
        <f t="shared" si="7"/>
        <v>392</v>
      </c>
      <c r="BL75" s="20">
        <f t="shared" si="8"/>
        <v>129591.93063929927</v>
      </c>
      <c r="BM75">
        <f>VLOOKUP(BK75,'Hazard Weighting Functions'!$B$5:$G$1205,4,FALSE)</f>
        <v>0.32987697799999999</v>
      </c>
      <c r="BN75">
        <f t="shared" si="76"/>
        <v>42749.394452477653</v>
      </c>
      <c r="BO75" s="19">
        <f t="shared" si="78"/>
        <v>101055.76810537395</v>
      </c>
      <c r="BP75" s="20">
        <f t="shared" si="9"/>
        <v>392</v>
      </c>
      <c r="BQ75" s="20">
        <f t="shared" si="10"/>
        <v>129591.93060000001</v>
      </c>
      <c r="BR75" s="19">
        <f>VLOOKUP(BP75,'Hazard Weighting Functions'!$B$5:$G$1205,4,FALSE)</f>
        <v>0.32987697799999999</v>
      </c>
      <c r="BS75" s="19">
        <f t="shared" si="34"/>
        <v>42749.39443951373</v>
      </c>
      <c r="BT75" s="19">
        <f t="shared" si="35"/>
        <v>101055.76809522082</v>
      </c>
      <c r="BV75">
        <f>VLOOKUP(BK75,'Hazard Weighting Functions'!$B$5:$G$1205,5,FALSE)</f>
        <v>1.504874129866466E-4</v>
      </c>
      <c r="BW75" s="24">
        <f t="shared" si="36"/>
        <v>19.501954385853089</v>
      </c>
      <c r="BX75" s="24">
        <f t="shared" si="37"/>
        <v>45.069505750243657</v>
      </c>
    </row>
    <row r="76" spans="2:76">
      <c r="B76">
        <v>294</v>
      </c>
      <c r="C76" s="36">
        <v>1.4532922599066853</v>
      </c>
      <c r="E76">
        <v>294</v>
      </c>
      <c r="F76" s="36">
        <v>1.4532922599066853</v>
      </c>
      <c r="H76" s="19">
        <v>294</v>
      </c>
      <c r="I76" s="36">
        <v>1.4532922599066853</v>
      </c>
      <c r="K76">
        <v>1235</v>
      </c>
      <c r="L76" s="36">
        <f>1374.44436*(1628/1602)</f>
        <v>1396.7511973033709</v>
      </c>
      <c r="N76">
        <v>394</v>
      </c>
      <c r="O76" s="36">
        <v>133952.87089354248</v>
      </c>
      <c r="Q76" s="19">
        <v>394</v>
      </c>
      <c r="R76" s="36">
        <v>133952.87090000001</v>
      </c>
      <c r="V76">
        <f t="shared" si="12"/>
        <v>294</v>
      </c>
      <c r="W76">
        <f t="shared" si="13"/>
        <v>1.4532922599066853</v>
      </c>
      <c r="Y76">
        <f t="shared" si="14"/>
        <v>294</v>
      </c>
      <c r="Z76">
        <f t="shared" si="15"/>
        <v>1.4532922599066853</v>
      </c>
      <c r="AA76">
        <f>VLOOKUP(Y76,'Hazard Weighting Functions'!$B$5:$G$1205,2,FALSE)</f>
        <v>0.55869999999999997</v>
      </c>
      <c r="AB76">
        <f t="shared" si="16"/>
        <v>0.81195438560986499</v>
      </c>
      <c r="AC76">
        <f t="shared" si="17"/>
        <v>1.5898299660416437</v>
      </c>
      <c r="AE76">
        <f>VLOOKUP(Y76,'Hazard Weighting Functions'!$B$5:$G$1205,3,FALSE)</f>
        <v>0</v>
      </c>
      <c r="AF76">
        <f t="shared" si="18"/>
        <v>0</v>
      </c>
      <c r="AG76">
        <f t="shared" si="19"/>
        <v>0</v>
      </c>
      <c r="AH76">
        <f>VLOOKUP(Y76,'Hazard Weighting Functions'!$B$5:$G$1205,5,FALSE)</f>
        <v>0</v>
      </c>
      <c r="AI76">
        <f t="shared" si="20"/>
        <v>0</v>
      </c>
      <c r="AJ76">
        <f t="shared" si="21"/>
        <v>0</v>
      </c>
      <c r="AP76" s="20">
        <f>'IEC_EN62471- Halogen non-GLS'!E126</f>
        <v>394</v>
      </c>
      <c r="AQ76" s="20">
        <f t="shared" si="22"/>
        <v>16.744108861692808</v>
      </c>
      <c r="AR76">
        <f>VLOOKUP(AP76,'Hazard Weighting Functions'!$B$5:$G$1205,3,FALSE)</f>
        <v>4.3527528000000003E-2</v>
      </c>
      <c r="AS76">
        <f t="shared" si="23"/>
        <v>0.72882966731238186</v>
      </c>
      <c r="AT76">
        <f t="shared" si="24"/>
        <v>1.722140316229237</v>
      </c>
      <c r="AU76" s="20">
        <f t="shared" si="11"/>
        <v>394</v>
      </c>
      <c r="AV76">
        <f>O76</f>
        <v>133952.87089354248</v>
      </c>
      <c r="AW76" s="19">
        <f>VLOOKUP(AU76,'Hazard Weighting Functions'!$B$5:$G$1205,3,FALSE)</f>
        <v>4.3527528000000003E-2</v>
      </c>
      <c r="AX76">
        <f t="shared" si="25"/>
        <v>5830.6373384990557</v>
      </c>
      <c r="AY76" s="19">
        <f t="shared" si="26"/>
        <v>13777.122529833898</v>
      </c>
      <c r="AZ76" s="20">
        <f t="shared" si="2"/>
        <v>394</v>
      </c>
      <c r="BA76" s="20">
        <f t="shared" si="3"/>
        <v>133952.87090000001</v>
      </c>
      <c r="BB76" s="19">
        <f>VLOOKUP(AZ76,'Hazard Weighting Functions'!$B$5:$G$1205,3,FALSE)</f>
        <v>4.3527528000000003E-2</v>
      </c>
      <c r="BC76">
        <f t="shared" si="27"/>
        <v>5830.6373387801359</v>
      </c>
      <c r="BD76" s="19">
        <f t="shared" si="28"/>
        <v>13777.122530791043</v>
      </c>
      <c r="BF76" s="20">
        <f t="shared" ref="BF76:BG76" si="85">H166</f>
        <v>585</v>
      </c>
      <c r="BG76" s="20">
        <f t="shared" si="85"/>
        <v>96.098399999999998</v>
      </c>
      <c r="BH76" s="19">
        <f>VLOOKUP(BF76,'Hazard Weighting Functions'!$B$5:$G$1205,4,FALSE)</f>
        <v>1</v>
      </c>
      <c r="BI76" s="19">
        <f t="shared" si="30"/>
        <v>96.098399999999998</v>
      </c>
      <c r="BJ76" s="19">
        <f t="shared" si="31"/>
        <v>485.73499999999996</v>
      </c>
      <c r="BK76" s="1">
        <f t="shared" si="7"/>
        <v>394</v>
      </c>
      <c r="BL76" s="20">
        <f t="shared" si="8"/>
        <v>133952.87089354248</v>
      </c>
      <c r="BM76">
        <f>VLOOKUP(BK76,'Hazard Weighting Functions'!$B$5:$G$1205,4,FALSE)</f>
        <v>0.43527528199999999</v>
      </c>
      <c r="BN76">
        <f t="shared" si="76"/>
        <v>58306.373652896291</v>
      </c>
      <c r="BO76" s="19">
        <f t="shared" si="78"/>
        <v>137771.22515117569</v>
      </c>
      <c r="BP76" s="20">
        <f t="shared" si="9"/>
        <v>394</v>
      </c>
      <c r="BQ76" s="20">
        <f t="shared" si="10"/>
        <v>133952.87090000001</v>
      </c>
      <c r="BR76" s="19">
        <f>VLOOKUP(BP76,'Hazard Weighting Functions'!$B$5:$G$1205,4,FALSE)</f>
        <v>0.43527528199999999</v>
      </c>
      <c r="BS76" s="19">
        <f t="shared" si="34"/>
        <v>58306.373655707095</v>
      </c>
      <c r="BT76" s="19">
        <f t="shared" si="35"/>
        <v>137771.22516074713</v>
      </c>
      <c r="BV76">
        <f>VLOOKUP(BK76,'Hazard Weighting Functions'!$B$5:$G$1205,5,FALSE)</f>
        <v>1.908697528753235E-4</v>
      </c>
      <c r="BW76" s="24">
        <f t="shared" si="36"/>
        <v>25.567551364390567</v>
      </c>
      <c r="BX76" s="24">
        <f t="shared" si="37"/>
        <v>59.866721383596072</v>
      </c>
    </row>
    <row r="77" spans="2:76">
      <c r="B77">
        <v>296</v>
      </c>
      <c r="C77" s="36">
        <v>1.5607455466127182</v>
      </c>
      <c r="E77">
        <v>296</v>
      </c>
      <c r="F77" s="36">
        <v>1.5607455466127182</v>
      </c>
      <c r="H77" s="19">
        <v>296</v>
      </c>
      <c r="I77" s="36">
        <v>1.5607455466127182</v>
      </c>
      <c r="K77">
        <v>1240</v>
      </c>
      <c r="L77" s="36">
        <f>1365.68112*(1628/1602)</f>
        <v>1387.845732434457</v>
      </c>
      <c r="N77">
        <v>396</v>
      </c>
      <c r="O77" s="36">
        <v>138356.34258822902</v>
      </c>
      <c r="Q77" s="19">
        <v>396</v>
      </c>
      <c r="R77" s="36">
        <v>138356.3426</v>
      </c>
      <c r="V77">
        <f t="shared" si="12"/>
        <v>296</v>
      </c>
      <c r="W77">
        <f t="shared" si="13"/>
        <v>1.5607455466127182</v>
      </c>
      <c r="Y77">
        <f t="shared" si="14"/>
        <v>296</v>
      </c>
      <c r="Z77">
        <f t="shared" si="15"/>
        <v>1.5607455466127182</v>
      </c>
      <c r="AA77">
        <f>VLOOKUP(Y77,'Hazard Weighting Functions'!$B$5:$G$1205,2,FALSE)</f>
        <v>0.49840000000000001</v>
      </c>
      <c r="AB77">
        <f t="shared" si="16"/>
        <v>0.77787558043177873</v>
      </c>
      <c r="AC77">
        <f t="shared" si="17"/>
        <v>1.4442855998051427</v>
      </c>
      <c r="AE77">
        <f>VLOOKUP(Y77,'Hazard Weighting Functions'!$B$5:$G$1205,3,FALSE)</f>
        <v>0</v>
      </c>
      <c r="AF77">
        <f t="shared" si="18"/>
        <v>0</v>
      </c>
      <c r="AG77">
        <f t="shared" si="19"/>
        <v>0</v>
      </c>
      <c r="AH77">
        <f>VLOOKUP(Y77,'Hazard Weighting Functions'!$B$5:$G$1205,5,FALSE)</f>
        <v>0</v>
      </c>
      <c r="AI77">
        <f t="shared" si="20"/>
        <v>0</v>
      </c>
      <c r="AJ77">
        <f t="shared" si="21"/>
        <v>0</v>
      </c>
      <c r="AP77" s="20">
        <f>'IEC_EN62471- Halogen non-GLS'!E127</f>
        <v>396</v>
      </c>
      <c r="AQ77" s="20">
        <f t="shared" si="22"/>
        <v>17.294542823528626</v>
      </c>
      <c r="AR77">
        <f>VLOOKUP(AP77,'Hazard Weighting Functions'!$B$5:$G$1205,3,FALSE)</f>
        <v>5.7434918000000001E-2</v>
      </c>
      <c r="AS77">
        <f t="shared" si="23"/>
        <v>0.99331064891685517</v>
      </c>
      <c r="AT77">
        <f t="shared" si="24"/>
        <v>2.3459330190599843</v>
      </c>
      <c r="AU77" s="20">
        <f t="shared" si="11"/>
        <v>396</v>
      </c>
      <c r="AV77">
        <f>O77</f>
        <v>138356.34258822902</v>
      </c>
      <c r="AW77" s="19">
        <f>VLOOKUP(AU77,'Hazard Weighting Functions'!$B$5:$G$1205,3,FALSE)</f>
        <v>5.7434918000000001E-2</v>
      </c>
      <c r="AX77">
        <f t="shared" si="25"/>
        <v>7946.4851913348411</v>
      </c>
      <c r="AY77" s="19">
        <f t="shared" si="26"/>
        <v>18767.464152479872</v>
      </c>
      <c r="AZ77" s="20">
        <f t="shared" si="2"/>
        <v>396</v>
      </c>
      <c r="BA77" s="20">
        <f t="shared" si="3"/>
        <v>138356.3426</v>
      </c>
      <c r="BB77" s="19">
        <f>VLOOKUP(AZ77,'Hazard Weighting Functions'!$B$5:$G$1205,3,FALSE)</f>
        <v>5.7434918000000001E-2</v>
      </c>
      <c r="BC77">
        <f t="shared" si="27"/>
        <v>7946.4851920109068</v>
      </c>
      <c r="BD77" s="19">
        <f t="shared" si="28"/>
        <v>18767.464150982978</v>
      </c>
      <c r="BF77" s="20">
        <f t="shared" ref="BF77:BG77" si="86">H167</f>
        <v>590</v>
      </c>
      <c r="BG77" s="20">
        <f t="shared" si="86"/>
        <v>98.195599999999999</v>
      </c>
      <c r="BH77" s="19">
        <f>VLOOKUP(BF77,'Hazard Weighting Functions'!$B$5:$G$1205,4,FALSE)</f>
        <v>1</v>
      </c>
      <c r="BI77" s="19">
        <f t="shared" si="30"/>
        <v>98.195599999999999</v>
      </c>
      <c r="BJ77" s="19">
        <f t="shared" si="31"/>
        <v>496.5865</v>
      </c>
      <c r="BK77" s="1">
        <f t="shared" si="7"/>
        <v>396</v>
      </c>
      <c r="BL77" s="20">
        <f t="shared" si="8"/>
        <v>138356.34258822902</v>
      </c>
      <c r="BM77">
        <f>VLOOKUP(BK77,'Hazard Weighting Functions'!$B$5:$G$1205,4,FALSE)</f>
        <v>0.57434917699999999</v>
      </c>
      <c r="BN77">
        <f t="shared" si="76"/>
        <v>79464.851498279386</v>
      </c>
      <c r="BO77" s="19">
        <f t="shared" si="78"/>
        <v>187674.64153808076</v>
      </c>
      <c r="BP77" s="20">
        <f t="shared" si="9"/>
        <v>396</v>
      </c>
      <c r="BQ77" s="20">
        <f t="shared" si="10"/>
        <v>138356.3426</v>
      </c>
      <c r="BR77" s="19">
        <f>VLOOKUP(BP77,'Hazard Weighting Functions'!$B$5:$G$1205,4,FALSE)</f>
        <v>0.57434917699999999</v>
      </c>
      <c r="BS77" s="19">
        <f t="shared" si="34"/>
        <v>79464.851505040046</v>
      </c>
      <c r="BT77" s="19">
        <f t="shared" si="35"/>
        <v>187674.64152311179</v>
      </c>
      <c r="BV77">
        <f>VLOOKUP(BK77,'Hazard Weighting Functions'!$B$5:$G$1205,5,FALSE)</f>
        <v>2.4790457291347612E-4</v>
      </c>
      <c r="BW77" s="24">
        <f t="shared" si="36"/>
        <v>34.299170019205505</v>
      </c>
      <c r="BX77" s="24">
        <f t="shared" si="37"/>
        <v>79.955256852114928</v>
      </c>
    </row>
    <row r="78" spans="2:76">
      <c r="B78">
        <v>298</v>
      </c>
      <c r="C78" s="36">
        <v>1.6706192513746903</v>
      </c>
      <c r="E78">
        <v>298</v>
      </c>
      <c r="F78" s="36">
        <v>1.6706192513746903</v>
      </c>
      <c r="H78" s="19">
        <v>298</v>
      </c>
      <c r="I78" s="36">
        <v>1.6706192513746903</v>
      </c>
      <c r="K78">
        <v>1245</v>
      </c>
      <c r="L78" s="36">
        <f>1356.93024*(1628/1602)</f>
        <v>1378.952828164794</v>
      </c>
      <c r="N78">
        <v>398</v>
      </c>
      <c r="O78" s="36">
        <v>142783.67402867239</v>
      </c>
      <c r="Q78" s="19">
        <v>398</v>
      </c>
      <c r="R78" s="36">
        <v>142783.674</v>
      </c>
      <c r="V78">
        <f t="shared" si="12"/>
        <v>298</v>
      </c>
      <c r="W78">
        <f t="shared" si="13"/>
        <v>1.6706192513746903</v>
      </c>
      <c r="Y78">
        <f t="shared" si="14"/>
        <v>298</v>
      </c>
      <c r="Z78">
        <f t="shared" si="15"/>
        <v>1.6706192513746903</v>
      </c>
      <c r="AA78">
        <f>VLOOKUP(Y78,'Hazard Weighting Functions'!$B$5:$G$1205,2,FALSE)</f>
        <v>0.39889999999999998</v>
      </c>
      <c r="AB78">
        <f t="shared" si="16"/>
        <v>0.66641001937336386</v>
      </c>
      <c r="AC78">
        <f t="shared" si="17"/>
        <v>1.2025220193733639</v>
      </c>
      <c r="AE78">
        <f>VLOOKUP(Y78,'Hazard Weighting Functions'!$B$5:$G$1205,3,FALSE)</f>
        <v>0</v>
      </c>
      <c r="AF78">
        <f t="shared" si="18"/>
        <v>0</v>
      </c>
      <c r="AG78">
        <f t="shared" si="19"/>
        <v>1.7870400000000002E-2</v>
      </c>
      <c r="AH78">
        <f>VLOOKUP(Y78,'Hazard Weighting Functions'!$B$5:$G$1205,5,FALSE)</f>
        <v>0</v>
      </c>
      <c r="AI78">
        <f t="shared" si="20"/>
        <v>0</v>
      </c>
      <c r="AJ78">
        <f t="shared" si="21"/>
        <v>0</v>
      </c>
      <c r="AP78" s="20">
        <f>'IEC_EN62471- Halogen non-GLS'!E128</f>
        <v>398</v>
      </c>
      <c r="AQ78" s="20">
        <f t="shared" si="22"/>
        <v>17.847959253584051</v>
      </c>
      <c r="AR78">
        <f>VLOOKUP(AP78,'Hazard Weighting Functions'!$B$5:$G$1205,3,FALSE)</f>
        <v>7.5785828E-2</v>
      </c>
      <c r="AS78">
        <f t="shared" si="23"/>
        <v>1.3526223701431292</v>
      </c>
      <c r="AT78">
        <f t="shared" si="24"/>
        <v>3.1938323701431295</v>
      </c>
      <c r="AU78" s="20">
        <f t="shared" si="11"/>
        <v>398</v>
      </c>
      <c r="AV78">
        <f>O78</f>
        <v>142783.67402867239</v>
      </c>
      <c r="AW78" s="19">
        <f>VLOOKUP(AU78,'Hazard Weighting Functions'!$B$5:$G$1205,3,FALSE)</f>
        <v>7.5785828E-2</v>
      </c>
      <c r="AX78">
        <f t="shared" si="25"/>
        <v>10820.978961145032</v>
      </c>
      <c r="AY78" s="19">
        <f t="shared" si="26"/>
        <v>25550.658961145033</v>
      </c>
      <c r="AZ78" s="20">
        <f t="shared" si="2"/>
        <v>398</v>
      </c>
      <c r="BA78" s="20">
        <f t="shared" si="3"/>
        <v>142783.674</v>
      </c>
      <c r="BB78" s="19">
        <f>VLOOKUP(AZ78,'Hazard Weighting Functions'!$B$5:$G$1205,3,FALSE)</f>
        <v>7.5785828E-2</v>
      </c>
      <c r="BC78">
        <f t="shared" si="27"/>
        <v>10820.978958972071</v>
      </c>
      <c r="BD78" s="19">
        <f t="shared" si="28"/>
        <v>25550.658958972072</v>
      </c>
      <c r="BF78" s="20">
        <f t="shared" ref="BF78:BG78" si="87">H168</f>
        <v>595</v>
      </c>
      <c r="BG78" s="20">
        <f t="shared" si="87"/>
        <v>100.43900000000001</v>
      </c>
      <c r="BH78" s="19">
        <f>VLOOKUP(BF78,'Hazard Weighting Functions'!$B$5:$G$1205,4,FALSE)</f>
        <v>1</v>
      </c>
      <c r="BI78" s="19">
        <f t="shared" si="30"/>
        <v>100.43900000000001</v>
      </c>
      <c r="BJ78" s="19">
        <f t="shared" si="31"/>
        <v>507.625</v>
      </c>
      <c r="BK78" s="1">
        <f t="shared" si="7"/>
        <v>398</v>
      </c>
      <c r="BL78" s="20">
        <f t="shared" si="8"/>
        <v>142783.67402867239</v>
      </c>
      <c r="BM78">
        <f>VLOOKUP(BK78,'Hazard Weighting Functions'!$B$5:$G$1205,4,FALSE)</f>
        <v>0.75785828300000002</v>
      </c>
      <c r="BN78">
        <f t="shared" si="76"/>
        <v>108209.79003980136</v>
      </c>
      <c r="BO78" s="19">
        <f t="shared" si="78"/>
        <v>255506.59003980135</v>
      </c>
      <c r="BP78" s="20">
        <f t="shared" si="9"/>
        <v>398</v>
      </c>
      <c r="BQ78" s="20">
        <f t="shared" si="10"/>
        <v>142783.674</v>
      </c>
      <c r="BR78" s="19">
        <f>VLOOKUP(BP78,'Hazard Weighting Functions'!$B$5:$G$1205,4,FALSE)</f>
        <v>0.75785828300000002</v>
      </c>
      <c r="BS78" s="19">
        <f t="shared" si="34"/>
        <v>108209.79001807174</v>
      </c>
      <c r="BT78" s="19">
        <f t="shared" si="35"/>
        <v>255506.59001807173</v>
      </c>
      <c r="BV78">
        <f>VLOOKUP(BK78,'Hazard Weighting Functions'!$B$5:$G$1205,5,FALSE)</f>
        <v>3.1975705306295181E-4</v>
      </c>
      <c r="BW78" s="24">
        <f t="shared" si="36"/>
        <v>45.656086832909416</v>
      </c>
      <c r="BX78" s="24">
        <f t="shared" si="37"/>
        <v>103.9856196329094</v>
      </c>
    </row>
    <row r="79" spans="2:76">
      <c r="B79">
        <v>300</v>
      </c>
      <c r="C79" s="36">
        <v>1.78704</v>
      </c>
      <c r="E79">
        <v>300</v>
      </c>
      <c r="F79" s="36">
        <v>1.78704</v>
      </c>
      <c r="H79" s="19">
        <v>300</v>
      </c>
      <c r="I79" s="36">
        <v>1.78704</v>
      </c>
      <c r="K79">
        <v>1250</v>
      </c>
      <c r="L79" s="36">
        <f>1348.17936*(1628/1602)</f>
        <v>1370.0599238951311</v>
      </c>
      <c r="N79">
        <v>400</v>
      </c>
      <c r="O79" s="36">
        <v>147296.79999999999</v>
      </c>
      <c r="Q79" s="19">
        <v>400</v>
      </c>
      <c r="R79" s="36">
        <v>147296.79999999999</v>
      </c>
      <c r="V79">
        <f t="shared" si="12"/>
        <v>300</v>
      </c>
      <c r="W79">
        <f t="shared" si="13"/>
        <v>1.78704</v>
      </c>
      <c r="Y79">
        <f t="shared" si="14"/>
        <v>300</v>
      </c>
      <c r="Z79">
        <f t="shared" si="15"/>
        <v>1.78704</v>
      </c>
      <c r="AA79">
        <f>VLOOKUP(Y79,'Hazard Weighting Functions'!$B$5:$G$1205,2,FALSE)</f>
        <v>0.3</v>
      </c>
      <c r="AB79">
        <f t="shared" si="16"/>
        <v>0.53611199999999992</v>
      </c>
      <c r="AC79">
        <f t="shared" si="17"/>
        <v>0.84776183150437889</v>
      </c>
      <c r="AE79">
        <f>VLOOKUP(Y79,'Hazard Weighting Functions'!$B$5:$G$1205,3,FALSE)</f>
        <v>0.01</v>
      </c>
      <c r="AF79">
        <f t="shared" si="18"/>
        <v>1.7870400000000002E-2</v>
      </c>
      <c r="AG79">
        <f t="shared" si="19"/>
        <v>3.7001758594498405E-2</v>
      </c>
      <c r="AH79">
        <f>VLOOKUP(Y79,'Hazard Weighting Functions'!$B$5:$G$1205,5,FALSE)</f>
        <v>0</v>
      </c>
      <c r="AI79">
        <f t="shared" si="20"/>
        <v>0</v>
      </c>
      <c r="AJ79">
        <f t="shared" si="21"/>
        <v>0</v>
      </c>
      <c r="AP79" s="20">
        <f>'IEC_EN62471- Halogen non-GLS'!E129</f>
        <v>400</v>
      </c>
      <c r="AQ79" s="20">
        <f t="shared" si="22"/>
        <v>18.412100000000002</v>
      </c>
      <c r="AR79">
        <f>VLOOKUP(AP79,'Hazard Weighting Functions'!$B$5:$G$1205,3,FALSE)</f>
        <v>0.1</v>
      </c>
      <c r="AS79">
        <f t="shared" si="23"/>
        <v>1.8412100000000002</v>
      </c>
      <c r="AT79">
        <f t="shared" si="24"/>
        <v>14.539525000000001</v>
      </c>
      <c r="AU79" s="20">
        <f t="shared" si="11"/>
        <v>400</v>
      </c>
      <c r="AV79">
        <f>O79</f>
        <v>147296.79999999999</v>
      </c>
      <c r="AW79" s="19">
        <f>VLOOKUP(AU79,'Hazard Weighting Functions'!$B$5:$G$1205,3,FALSE)</f>
        <v>0.1</v>
      </c>
      <c r="AX79">
        <f t="shared" si="25"/>
        <v>14729.68</v>
      </c>
      <c r="AY79" s="19">
        <f t="shared" si="26"/>
        <v>116316.20000000001</v>
      </c>
      <c r="AZ79" s="20">
        <f t="shared" si="2"/>
        <v>400</v>
      </c>
      <c r="BA79" s="20">
        <f t="shared" si="3"/>
        <v>147296.79999999999</v>
      </c>
      <c r="BB79" s="19">
        <f>VLOOKUP(AZ79,'Hazard Weighting Functions'!$B$5:$G$1205,3,FALSE)</f>
        <v>0.1</v>
      </c>
      <c r="BC79">
        <f t="shared" si="27"/>
        <v>14729.68</v>
      </c>
      <c r="BD79" s="19">
        <f t="shared" si="28"/>
        <v>34777.715877681112</v>
      </c>
      <c r="BF79" s="20">
        <f t="shared" ref="BF79:BG79" si="88">H169</f>
        <v>600</v>
      </c>
      <c r="BG79" s="20">
        <f t="shared" si="88"/>
        <v>102.611</v>
      </c>
      <c r="BH79" s="19">
        <f>VLOOKUP(BF79,'Hazard Weighting Functions'!$B$5:$G$1205,4,FALSE)</f>
        <v>1</v>
      </c>
      <c r="BI79" s="19">
        <f t="shared" si="30"/>
        <v>102.611</v>
      </c>
      <c r="BJ79" s="19">
        <f t="shared" si="31"/>
        <v>518.17250000000001</v>
      </c>
      <c r="BK79" s="1">
        <f t="shared" si="7"/>
        <v>400</v>
      </c>
      <c r="BL79" s="20">
        <f t="shared" si="8"/>
        <v>147296.79999999999</v>
      </c>
      <c r="BM79">
        <f>VLOOKUP(BK79,'Hazard Weighting Functions'!$B$5:$G$1205,4,FALSE)</f>
        <v>1</v>
      </c>
      <c r="BN79">
        <f t="shared" si="76"/>
        <v>147296.79999999999</v>
      </c>
      <c r="BO79" s="19">
        <f t="shared" si="78"/>
        <v>1163162</v>
      </c>
      <c r="BP79" s="20">
        <f t="shared" si="9"/>
        <v>400</v>
      </c>
      <c r="BQ79" s="20">
        <f t="shared" si="10"/>
        <v>147296.79999999999</v>
      </c>
      <c r="BR79" s="19">
        <f>VLOOKUP(BP79,'Hazard Weighting Functions'!$B$5:$G$1205,4,FALSE)</f>
        <v>1</v>
      </c>
      <c r="BS79" s="19">
        <f t="shared" si="34"/>
        <v>147296.79999999999</v>
      </c>
      <c r="BT79" s="19">
        <f t="shared" si="35"/>
        <v>347777.15892874677</v>
      </c>
      <c r="BV79">
        <f>VLOOKUP(BK79,'Hazard Weighting Functions'!$B$5:$G$1205,5,FALSE)</f>
        <v>3.9599999999999998E-4</v>
      </c>
      <c r="BW79" s="24">
        <f t="shared" si="36"/>
        <v>58.329532799999988</v>
      </c>
      <c r="BX79" s="24">
        <f t="shared" si="37"/>
        <v>400.19823199999996</v>
      </c>
    </row>
    <row r="80" spans="2:76">
      <c r="B80">
        <v>302</v>
      </c>
      <c r="C80" s="36">
        <v>1.9131358594498404</v>
      </c>
      <c r="E80">
        <v>302</v>
      </c>
      <c r="F80" s="36">
        <v>1.9131358594498404</v>
      </c>
      <c r="H80" s="19">
        <v>302</v>
      </c>
      <c r="I80" s="36">
        <v>1.9131358594498404</v>
      </c>
      <c r="K80">
        <v>1255</v>
      </c>
      <c r="L80" s="36">
        <f>1339.42848*(1628/1602)</f>
        <v>1361.1670196254681</v>
      </c>
      <c r="N80">
        <v>405</v>
      </c>
      <c r="O80" s="36">
        <v>158984</v>
      </c>
      <c r="Q80" s="19">
        <v>402</v>
      </c>
      <c r="R80" s="36">
        <v>151935.70061797588</v>
      </c>
      <c r="V80">
        <f t="shared" si="12"/>
        <v>302</v>
      </c>
      <c r="W80">
        <f t="shared" si="13"/>
        <v>1.9131358594498404</v>
      </c>
      <c r="Y80">
        <f t="shared" si="14"/>
        <v>302</v>
      </c>
      <c r="Z80">
        <f t="shared" si="15"/>
        <v>1.9131358594498404</v>
      </c>
      <c r="AA80">
        <f>VLOOKUP(Y80,'Hazard Weighting Functions'!$B$5:$G$1205,2,FALSE)</f>
        <v>0.16289999999999999</v>
      </c>
      <c r="AB80">
        <f t="shared" si="16"/>
        <v>0.31164983150437897</v>
      </c>
      <c r="AC80">
        <f t="shared" si="17"/>
        <v>0.48546951266229615</v>
      </c>
      <c r="AE80">
        <f>VLOOKUP(Y80,'Hazard Weighting Functions'!$B$5:$G$1205,3,FALSE)</f>
        <v>0.01</v>
      </c>
      <c r="AF80">
        <f t="shared" si="18"/>
        <v>1.9131358594498406E-2</v>
      </c>
      <c r="AG80">
        <f t="shared" si="19"/>
        <v>3.9604819272698308E-2</v>
      </c>
      <c r="AH80">
        <f>VLOOKUP(Y80,'Hazard Weighting Functions'!$B$5:$G$1205,5,FALSE)</f>
        <v>0</v>
      </c>
      <c r="AI80">
        <f t="shared" si="20"/>
        <v>0</v>
      </c>
      <c r="AJ80">
        <f t="shared" si="21"/>
        <v>0</v>
      </c>
      <c r="AP80" s="20">
        <f>'IEC_EN62471- Halogen non-GLS'!E130</f>
        <v>405</v>
      </c>
      <c r="AQ80" s="20">
        <f t="shared" si="22"/>
        <v>19.873000000000001</v>
      </c>
      <c r="AR80">
        <f>VLOOKUP(AP80,'Hazard Weighting Functions'!$B$5:$G$1205,3,FALSE)</f>
        <v>0.2</v>
      </c>
      <c r="AS80">
        <f t="shared" si="23"/>
        <v>3.9746000000000006</v>
      </c>
      <c r="AT80">
        <f t="shared" si="24"/>
        <v>31.298500000000004</v>
      </c>
      <c r="AU80" s="20">
        <f t="shared" si="11"/>
        <v>405</v>
      </c>
      <c r="AV80">
        <f>O80</f>
        <v>158984</v>
      </c>
      <c r="AW80" s="19">
        <f>VLOOKUP(AU80,'Hazard Weighting Functions'!$B$5:$G$1205,3,FALSE)</f>
        <v>0.2</v>
      </c>
      <c r="AX80">
        <f t="shared" si="25"/>
        <v>31796.800000000003</v>
      </c>
      <c r="AY80" s="19">
        <f t="shared" si="26"/>
        <v>250388</v>
      </c>
      <c r="AZ80" s="20">
        <f t="shared" si="2"/>
        <v>402</v>
      </c>
      <c r="BA80" s="20">
        <f t="shared" si="3"/>
        <v>151935.70061797588</v>
      </c>
      <c r="BB80" s="19">
        <f>VLOOKUP(AZ80,'Hazard Weighting Functions'!$B$5:$G$1205,3,FALSE)</f>
        <v>0.13195079100000001</v>
      </c>
      <c r="BC80">
        <f t="shared" si="27"/>
        <v>20048.035877681108</v>
      </c>
      <c r="BD80" s="19">
        <f t="shared" si="28"/>
        <v>47320.164728248223</v>
      </c>
      <c r="BF80" s="20">
        <f t="shared" ref="BF80:BG80" si="89">H170</f>
        <v>605</v>
      </c>
      <c r="BG80" s="20">
        <f t="shared" si="89"/>
        <v>104.658</v>
      </c>
      <c r="BH80" s="19">
        <f>VLOOKUP(BF80,'Hazard Weighting Functions'!$B$5:$G$1205,4,FALSE)</f>
        <v>1</v>
      </c>
      <c r="BI80" s="19">
        <f t="shared" si="30"/>
        <v>104.658</v>
      </c>
      <c r="BJ80" s="19">
        <f t="shared" si="31"/>
        <v>527.99250000000006</v>
      </c>
      <c r="BK80" s="1">
        <f t="shared" si="7"/>
        <v>405</v>
      </c>
      <c r="BL80" s="20">
        <f t="shared" si="8"/>
        <v>158984</v>
      </c>
      <c r="BM80">
        <f>VLOOKUP(BK80,'Hazard Weighting Functions'!$B$5:$G$1205,4,FALSE)</f>
        <v>2</v>
      </c>
      <c r="BN80">
        <f t="shared" si="76"/>
        <v>317968</v>
      </c>
      <c r="BO80" s="19">
        <f t="shared" si="78"/>
        <v>2503879.9999999995</v>
      </c>
      <c r="BP80" s="20">
        <f t="shared" si="9"/>
        <v>402</v>
      </c>
      <c r="BQ80" s="20">
        <f t="shared" si="10"/>
        <v>151935.70061797588</v>
      </c>
      <c r="BR80" s="19">
        <f>VLOOKUP(BP80,'Hazard Weighting Functions'!$B$5:$G$1205,4,FALSE)</f>
        <v>1.3195079110000001</v>
      </c>
      <c r="BS80" s="19">
        <f t="shared" si="34"/>
        <v>200480.35892874678</v>
      </c>
      <c r="BT80" s="19">
        <f t="shared" si="35"/>
        <v>473201.64696450619</v>
      </c>
      <c r="BV80">
        <f>VLOOKUP(BK80,'Hazard Weighting Functions'!$B$5:$G$1205,5,FALSE)</f>
        <v>6.4000000000000005E-4</v>
      </c>
      <c r="BW80" s="24">
        <f t="shared" si="36"/>
        <v>101.74976000000001</v>
      </c>
      <c r="BX80" s="24">
        <f t="shared" si="37"/>
        <v>771.33479999999986</v>
      </c>
    </row>
    <row r="81" spans="2:76">
      <c r="B81">
        <v>304</v>
      </c>
      <c r="C81" s="36">
        <v>2.0473460678199902</v>
      </c>
      <c r="E81">
        <v>304</v>
      </c>
      <c r="F81" s="36">
        <v>2.0473460678199902</v>
      </c>
      <c r="H81" s="19">
        <v>304</v>
      </c>
      <c r="I81" s="36">
        <v>2.0473460678199902</v>
      </c>
      <c r="K81">
        <v>1260</v>
      </c>
      <c r="L81" s="36">
        <f>1330.68996*(1628/1602)</f>
        <v>1352.2866759550561</v>
      </c>
      <c r="N81">
        <v>410</v>
      </c>
      <c r="O81" s="36">
        <v>170895.99999999997</v>
      </c>
      <c r="Q81" s="19">
        <v>404</v>
      </c>
      <c r="R81" s="36">
        <v>156637.24743299151</v>
      </c>
      <c r="V81">
        <f t="shared" si="12"/>
        <v>304</v>
      </c>
      <c r="W81">
        <f t="shared" si="13"/>
        <v>2.0473460678199902</v>
      </c>
      <c r="Y81">
        <f t="shared" si="14"/>
        <v>304</v>
      </c>
      <c r="Z81">
        <f t="shared" si="15"/>
        <v>2.0473460678199902</v>
      </c>
      <c r="AA81">
        <f>VLOOKUP(Y81,'Hazard Weighting Functions'!$B$5:$G$1205,2,FALSE)</f>
        <v>8.4900000000000003E-2</v>
      </c>
      <c r="AB81">
        <f t="shared" si="16"/>
        <v>0.17381968115791718</v>
      </c>
      <c r="AC81">
        <f t="shared" si="17"/>
        <v>0.27311214119966382</v>
      </c>
      <c r="AE81">
        <f>VLOOKUP(Y81,'Hazard Weighting Functions'!$B$5:$G$1205,3,FALSE)</f>
        <v>0.01</v>
      </c>
      <c r="AF81">
        <f t="shared" si="18"/>
        <v>2.0473460678199901E-2</v>
      </c>
      <c r="AG81">
        <f t="shared" si="19"/>
        <v>4.2344046590478891E-2</v>
      </c>
      <c r="AH81">
        <f>VLOOKUP(Y81,'Hazard Weighting Functions'!$B$5:$G$1205,5,FALSE)</f>
        <v>0</v>
      </c>
      <c r="AI81">
        <f t="shared" si="20"/>
        <v>0</v>
      </c>
      <c r="AJ81">
        <f t="shared" si="21"/>
        <v>0</v>
      </c>
      <c r="AP81" s="20">
        <f>'IEC_EN62471- Halogen non-GLS'!E131</f>
        <v>410</v>
      </c>
      <c r="AQ81" s="20">
        <f t="shared" si="22"/>
        <v>21.361999999999998</v>
      </c>
      <c r="AR81">
        <f>VLOOKUP(AP81,'Hazard Weighting Functions'!$B$5:$G$1205,3,FALSE)</f>
        <v>0.4</v>
      </c>
      <c r="AS81">
        <f t="shared" si="23"/>
        <v>8.5448000000000004</v>
      </c>
      <c r="AT81">
        <f t="shared" si="24"/>
        <v>67.345600000000019</v>
      </c>
      <c r="AU81" s="20">
        <f t="shared" si="11"/>
        <v>410</v>
      </c>
      <c r="AV81">
        <f>O81</f>
        <v>170895.99999999997</v>
      </c>
      <c r="AW81" s="19">
        <f>VLOOKUP(AU81,'Hazard Weighting Functions'!$B$5:$G$1205,3,FALSE)</f>
        <v>0.4</v>
      </c>
      <c r="AX81">
        <f t="shared" si="25"/>
        <v>68358.399999999994</v>
      </c>
      <c r="AY81" s="19">
        <f t="shared" si="26"/>
        <v>538764.79999999993</v>
      </c>
      <c r="AZ81" s="20">
        <f t="shared" si="2"/>
        <v>404</v>
      </c>
      <c r="BA81" s="20">
        <f t="shared" si="3"/>
        <v>156637.24743299151</v>
      </c>
      <c r="BB81" s="19">
        <f>VLOOKUP(AZ81,'Hazard Weighting Functions'!$B$5:$G$1205,3,FALSE)</f>
        <v>0.17411011300000001</v>
      </c>
      <c r="BC81">
        <f t="shared" si="27"/>
        <v>27272.128850567115</v>
      </c>
      <c r="BD81" s="19">
        <f t="shared" si="28"/>
        <v>64333.426463936295</v>
      </c>
      <c r="BF81" s="20">
        <f t="shared" ref="BF81:BG81" si="90">H171</f>
        <v>610</v>
      </c>
      <c r="BG81" s="20">
        <f t="shared" si="90"/>
        <v>106.53900000000002</v>
      </c>
      <c r="BH81" s="19">
        <f>VLOOKUP(BF81,'Hazard Weighting Functions'!$B$5:$G$1205,4,FALSE)</f>
        <v>1</v>
      </c>
      <c r="BI81" s="19">
        <f t="shared" si="30"/>
        <v>106.53900000000002</v>
      </c>
      <c r="BJ81" s="19">
        <f t="shared" si="31"/>
        <v>537.80500000000006</v>
      </c>
      <c r="BK81" s="1">
        <f t="shared" si="7"/>
        <v>410</v>
      </c>
      <c r="BL81" s="20">
        <f t="shared" si="8"/>
        <v>170895.99999999997</v>
      </c>
      <c r="BM81">
        <f>VLOOKUP(BK81,'Hazard Weighting Functions'!$B$5:$G$1205,4,FALSE)</f>
        <v>4</v>
      </c>
      <c r="BN81">
        <f t="shared" si="76"/>
        <v>683583.99999999988</v>
      </c>
      <c r="BO81" s="19">
        <f t="shared" si="78"/>
        <v>5387647.9999999991</v>
      </c>
      <c r="BP81" s="20">
        <f t="shared" si="9"/>
        <v>404</v>
      </c>
      <c r="BQ81" s="20">
        <f t="shared" si="10"/>
        <v>156637.24743299151</v>
      </c>
      <c r="BR81" s="19">
        <f>VLOOKUP(BP81,'Hazard Weighting Functions'!$B$5:$G$1205,4,FALSE)</f>
        <v>1.7411011270000001</v>
      </c>
      <c r="BS81" s="19">
        <f t="shared" si="34"/>
        <v>272721.28803575941</v>
      </c>
      <c r="BT81" s="19">
        <f t="shared" si="35"/>
        <v>643334.2641694512</v>
      </c>
      <c r="BV81">
        <f>VLOOKUP(BK81,'Hazard Weighting Functions'!$B$5:$G$1205,5,FALSE)</f>
        <v>1.2099999999999999E-3</v>
      </c>
      <c r="BW81" s="24">
        <f t="shared" si="36"/>
        <v>206.78415999999996</v>
      </c>
      <c r="BX81" s="24">
        <f t="shared" si="37"/>
        <v>1519.4028799999999</v>
      </c>
    </row>
    <row r="82" spans="2:76">
      <c r="B82">
        <v>306</v>
      </c>
      <c r="C82" s="36">
        <v>2.187058591227899</v>
      </c>
      <c r="E82">
        <v>306</v>
      </c>
      <c r="F82" s="36">
        <v>2.187058591227899</v>
      </c>
      <c r="H82" s="19">
        <v>306</v>
      </c>
      <c r="I82" s="36">
        <v>2.187058591227899</v>
      </c>
      <c r="K82">
        <v>1265</v>
      </c>
      <c r="L82" s="36">
        <f>1321.97616*(1628/1602)</f>
        <v>1343.431453483146</v>
      </c>
      <c r="N82">
        <v>415</v>
      </c>
      <c r="O82" s="36">
        <v>183934.4</v>
      </c>
      <c r="Q82" s="19">
        <v>406</v>
      </c>
      <c r="R82" s="36">
        <v>161318.6675686028</v>
      </c>
      <c r="V82">
        <f t="shared" si="12"/>
        <v>306</v>
      </c>
      <c r="W82">
        <f t="shared" si="13"/>
        <v>2.187058591227899</v>
      </c>
      <c r="Y82">
        <f t="shared" si="14"/>
        <v>306</v>
      </c>
      <c r="Z82">
        <f t="shared" si="15"/>
        <v>2.187058591227899</v>
      </c>
      <c r="AA82">
        <f>VLOOKUP(Y82,'Hazard Weighting Functions'!$B$5:$G$1205,2,FALSE)</f>
        <v>4.5400000000000003E-2</v>
      </c>
      <c r="AB82">
        <f t="shared" si="16"/>
        <v>9.9292460041746619E-2</v>
      </c>
      <c r="AC82">
        <f t="shared" si="17"/>
        <v>0.15993597560465375</v>
      </c>
      <c r="AE82">
        <f>VLOOKUP(Y82,'Hazard Weighting Functions'!$B$5:$G$1205,3,FALSE)</f>
        <v>0.01</v>
      </c>
      <c r="AF82">
        <f t="shared" si="18"/>
        <v>2.187058591227899E-2</v>
      </c>
      <c r="AG82">
        <f t="shared" si="19"/>
        <v>4.5195014974935582E-2</v>
      </c>
      <c r="AH82">
        <f>VLOOKUP(Y82,'Hazard Weighting Functions'!$B$5:$G$1205,5,FALSE)</f>
        <v>0</v>
      </c>
      <c r="AI82">
        <f t="shared" si="20"/>
        <v>0</v>
      </c>
      <c r="AJ82">
        <f t="shared" si="21"/>
        <v>0</v>
      </c>
      <c r="AP82" s="20">
        <f>'IEC_EN62471- Halogen non-GLS'!E132</f>
        <v>415</v>
      </c>
      <c r="AQ82" s="20">
        <f t="shared" si="22"/>
        <v>22.991800000000005</v>
      </c>
      <c r="AR82">
        <f>VLOOKUP(AP82,'Hazard Weighting Functions'!$B$5:$G$1205,3,FALSE)</f>
        <v>0.8</v>
      </c>
      <c r="AS82">
        <f t="shared" si="23"/>
        <v>18.393440000000005</v>
      </c>
      <c r="AT82">
        <f t="shared" si="24"/>
        <v>101.29737500000002</v>
      </c>
      <c r="AU82" s="20">
        <f t="shared" si="11"/>
        <v>415</v>
      </c>
      <c r="AV82">
        <f>O82</f>
        <v>183934.4</v>
      </c>
      <c r="AW82" s="19">
        <f>VLOOKUP(AU82,'Hazard Weighting Functions'!$B$5:$G$1205,3,FALSE)</f>
        <v>0.8</v>
      </c>
      <c r="AX82">
        <f t="shared" si="25"/>
        <v>147147.51999999999</v>
      </c>
      <c r="AY82" s="19">
        <f t="shared" si="26"/>
        <v>810379</v>
      </c>
      <c r="AZ82" s="20">
        <f t="shared" si="2"/>
        <v>406</v>
      </c>
      <c r="BA82" s="20">
        <f t="shared" si="3"/>
        <v>161318.6675686028</v>
      </c>
      <c r="BB82" s="19">
        <f>VLOOKUP(AZ82,'Hazard Weighting Functions'!$B$5:$G$1205,3,FALSE)</f>
        <v>0.22973967100000001</v>
      </c>
      <c r="BC82">
        <f t="shared" si="27"/>
        <v>37061.297613369177</v>
      </c>
      <c r="BD82" s="19">
        <f t="shared" si="28"/>
        <v>87388.659615016688</v>
      </c>
      <c r="BF82" s="20">
        <f t="shared" ref="BF82:BG82" si="91">H172</f>
        <v>615</v>
      </c>
      <c r="BG82" s="20">
        <f t="shared" si="91"/>
        <v>108.583</v>
      </c>
      <c r="BH82" s="19">
        <f>VLOOKUP(BF82,'Hazard Weighting Functions'!$B$5:$G$1205,4,FALSE)</f>
        <v>1</v>
      </c>
      <c r="BI82" s="19">
        <f t="shared" si="30"/>
        <v>108.583</v>
      </c>
      <c r="BJ82" s="19">
        <f t="shared" si="31"/>
        <v>547.61750000000006</v>
      </c>
      <c r="BK82" s="1">
        <f t="shared" si="7"/>
        <v>415</v>
      </c>
      <c r="BL82" s="20">
        <f t="shared" si="8"/>
        <v>183934.4</v>
      </c>
      <c r="BM82">
        <f>VLOOKUP(BK82,'Hazard Weighting Functions'!$B$5:$G$1205,4,FALSE)</f>
        <v>8</v>
      </c>
      <c r="BN82">
        <f t="shared" si="76"/>
        <v>1471475.2</v>
      </c>
      <c r="BO82" s="19">
        <f t="shared" si="78"/>
        <v>8103790</v>
      </c>
      <c r="BP82" s="20">
        <f t="shared" si="9"/>
        <v>406</v>
      </c>
      <c r="BQ82" s="20">
        <f t="shared" si="10"/>
        <v>161318.6675686028</v>
      </c>
      <c r="BR82" s="19">
        <f>VLOOKUP(BP82,'Hazard Weighting Functions'!$B$5:$G$1205,4,FALSE)</f>
        <v>2.2973967100000001</v>
      </c>
      <c r="BS82" s="19">
        <f t="shared" si="34"/>
        <v>370612.97613369179</v>
      </c>
      <c r="BT82" s="19">
        <f t="shared" si="35"/>
        <v>873886.59664822184</v>
      </c>
      <c r="BV82">
        <f>VLOOKUP(BK82,'Hazard Weighting Functions'!$B$5:$G$1205,5,FALSE)</f>
        <v>2.1800000000000001E-3</v>
      </c>
      <c r="BW82" s="24">
        <f t="shared" si="36"/>
        <v>400.976992</v>
      </c>
      <c r="BX82" s="24">
        <f t="shared" si="37"/>
        <v>2969.1544800000001</v>
      </c>
    </row>
    <row r="83" spans="2:76">
      <c r="B83">
        <v>308</v>
      </c>
      <c r="C83" s="36">
        <v>2.3324429062656589</v>
      </c>
      <c r="E83">
        <v>308</v>
      </c>
      <c r="F83" s="36">
        <v>2.3324429062656589</v>
      </c>
      <c r="H83" s="19">
        <v>308</v>
      </c>
      <c r="I83" s="36">
        <v>2.3324429062656589</v>
      </c>
      <c r="K83">
        <v>1270</v>
      </c>
      <c r="L83" s="36">
        <f>1313.26236*(1628/1602)</f>
        <v>1334.5762310112361</v>
      </c>
      <c r="N83">
        <v>420</v>
      </c>
      <c r="O83" s="36">
        <v>196671.2</v>
      </c>
      <c r="Q83" s="19">
        <v>408</v>
      </c>
      <c r="R83" s="36">
        <v>166018.38088919842</v>
      </c>
      <c r="V83">
        <f t="shared" si="12"/>
        <v>308</v>
      </c>
      <c r="W83">
        <f t="shared" si="13"/>
        <v>2.3324429062656589</v>
      </c>
      <c r="Y83">
        <f t="shared" si="14"/>
        <v>308</v>
      </c>
      <c r="Z83">
        <f t="shared" si="15"/>
        <v>2.3324429062656589</v>
      </c>
      <c r="AA83">
        <f>VLOOKUP(Y83,'Hazard Weighting Functions'!$B$5:$G$1205,2,FALSE)</f>
        <v>2.5999999999999999E-2</v>
      </c>
      <c r="AB83">
        <f t="shared" si="16"/>
        <v>6.0643515562907126E-2</v>
      </c>
      <c r="AC83">
        <f t="shared" si="17"/>
        <v>9.7940265562907136E-2</v>
      </c>
      <c r="AE83">
        <f>VLOOKUP(Y83,'Hazard Weighting Functions'!$B$5:$G$1205,3,FALSE)</f>
        <v>0.01</v>
      </c>
      <c r="AF83">
        <f t="shared" si="18"/>
        <v>2.3324429062656589E-2</v>
      </c>
      <c r="AG83">
        <f t="shared" si="19"/>
        <v>4.8188929062656594E-2</v>
      </c>
      <c r="AH83">
        <f>VLOOKUP(Y83,'Hazard Weighting Functions'!$B$5:$G$1205,5,FALSE)</f>
        <v>0</v>
      </c>
      <c r="AI83">
        <f t="shared" si="20"/>
        <v>0</v>
      </c>
      <c r="AJ83">
        <f t="shared" si="21"/>
        <v>0</v>
      </c>
      <c r="AP83" s="20">
        <f>'IEC_EN62471- Halogen non-GLS'!E133</f>
        <v>420</v>
      </c>
      <c r="AQ83" s="20">
        <f t="shared" si="22"/>
        <v>24.5839</v>
      </c>
      <c r="AR83">
        <f>VLOOKUP(AP83,'Hazard Weighting Functions'!$B$5:$G$1205,3,FALSE)</f>
        <v>0.9</v>
      </c>
      <c r="AS83">
        <f t="shared" si="23"/>
        <v>22.125510000000002</v>
      </c>
      <c r="AT83">
        <f t="shared" si="24"/>
        <v>117.72735</v>
      </c>
      <c r="AU83" s="20">
        <f t="shared" si="11"/>
        <v>420</v>
      </c>
      <c r="AV83">
        <f>O83</f>
        <v>196671.2</v>
      </c>
      <c r="AW83" s="19">
        <f>VLOOKUP(AU83,'Hazard Weighting Functions'!$B$5:$G$1205,3,FALSE)</f>
        <v>0.9</v>
      </c>
      <c r="AX83">
        <f t="shared" si="25"/>
        <v>177004.08000000002</v>
      </c>
      <c r="AY83" s="19">
        <f t="shared" si="26"/>
        <v>941818.8</v>
      </c>
      <c r="AZ83" s="20">
        <f t="shared" si="2"/>
        <v>408</v>
      </c>
      <c r="BA83" s="20">
        <f t="shared" si="3"/>
        <v>166018.38088919842</v>
      </c>
      <c r="BB83" s="19">
        <f>VLOOKUP(AZ83,'Hazard Weighting Functions'!$B$5:$G$1205,3,FALSE)</f>
        <v>0.30314331300000003</v>
      </c>
      <c r="BC83">
        <f t="shared" si="27"/>
        <v>50327.362001647503</v>
      </c>
      <c r="BD83" s="19">
        <f t="shared" si="28"/>
        <v>118685.76200164751</v>
      </c>
      <c r="BF83" s="20">
        <f t="shared" ref="BF83:BG83" si="92">H173</f>
        <v>620</v>
      </c>
      <c r="BG83" s="20">
        <f t="shared" si="92"/>
        <v>110.46400000000001</v>
      </c>
      <c r="BH83" s="19">
        <f>VLOOKUP(BF83,'Hazard Weighting Functions'!$B$5:$G$1205,4,FALSE)</f>
        <v>1</v>
      </c>
      <c r="BI83" s="19">
        <f t="shared" si="30"/>
        <v>110.46400000000001</v>
      </c>
      <c r="BJ83" s="19">
        <f t="shared" si="31"/>
        <v>557.02250000000004</v>
      </c>
      <c r="BK83" s="1">
        <f t="shared" si="7"/>
        <v>420</v>
      </c>
      <c r="BL83" s="20">
        <f t="shared" si="8"/>
        <v>196671.2</v>
      </c>
      <c r="BM83">
        <f>VLOOKUP(BK83,'Hazard Weighting Functions'!$B$5:$G$1205,4,FALSE)</f>
        <v>9</v>
      </c>
      <c r="BN83">
        <f t="shared" si="76"/>
        <v>1770040.8</v>
      </c>
      <c r="BO83" s="19">
        <f t="shared" si="78"/>
        <v>9418188</v>
      </c>
      <c r="BP83" s="20">
        <f t="shared" si="9"/>
        <v>408</v>
      </c>
      <c r="BQ83" s="20">
        <f t="shared" si="10"/>
        <v>166018.38088919842</v>
      </c>
      <c r="BR83" s="19">
        <f>VLOOKUP(BP83,'Hazard Weighting Functions'!$B$5:$G$1205,4,FALSE)</f>
        <v>3.0314331330000002</v>
      </c>
      <c r="BS83" s="19">
        <f t="shared" si="34"/>
        <v>503273.62051453011</v>
      </c>
      <c r="BT83" s="19">
        <f t="shared" si="35"/>
        <v>1186857.6205145302</v>
      </c>
      <c r="BV83">
        <f>VLOOKUP(BK83,'Hazard Weighting Functions'!$B$5:$G$1205,5,FALSE)</f>
        <v>4.0000000000000001E-3</v>
      </c>
      <c r="BW83" s="24">
        <f t="shared" si="36"/>
        <v>786.68480000000011</v>
      </c>
      <c r="BX83" s="24">
        <f t="shared" si="37"/>
        <v>5803.5044000000007</v>
      </c>
    </row>
    <row r="84" spans="2:76">
      <c r="B84">
        <v>310</v>
      </c>
      <c r="C84" s="36">
        <v>2.4864500000000005</v>
      </c>
      <c r="E84">
        <v>310</v>
      </c>
      <c r="F84" s="36">
        <v>2.4864500000000005</v>
      </c>
      <c r="H84" s="19">
        <v>310</v>
      </c>
      <c r="I84" s="36">
        <v>2.4864500000000005</v>
      </c>
      <c r="K84">
        <v>1275</v>
      </c>
      <c r="L84" s="36">
        <f>1304.56092*(1628/1602)</f>
        <v>1325.7335691385767</v>
      </c>
      <c r="N84">
        <v>425</v>
      </c>
      <c r="O84" s="36">
        <v>210235.2</v>
      </c>
      <c r="Q84" s="19">
        <v>410</v>
      </c>
      <c r="R84" s="36">
        <v>170896</v>
      </c>
      <c r="V84">
        <f t="shared" si="12"/>
        <v>310</v>
      </c>
      <c r="W84">
        <f t="shared" si="13"/>
        <v>2.4864500000000005</v>
      </c>
      <c r="Y84">
        <f t="shared" si="14"/>
        <v>310</v>
      </c>
      <c r="Z84">
        <f t="shared" si="15"/>
        <v>2.4864500000000005</v>
      </c>
      <c r="AA84">
        <f>VLOOKUP(Y84,'Hazard Weighting Functions'!$B$5:$G$1205,2,FALSE)</f>
        <v>1.4999999999999999E-2</v>
      </c>
      <c r="AB84">
        <f t="shared" si="16"/>
        <v>3.7296750000000004E-2</v>
      </c>
      <c r="AC84">
        <f t="shared" si="17"/>
        <v>5.8768261058114689E-2</v>
      </c>
      <c r="AE84">
        <f>VLOOKUP(Y84,'Hazard Weighting Functions'!$B$5:$G$1205,3,FALSE)</f>
        <v>0.01</v>
      </c>
      <c r="AF84">
        <f t="shared" si="18"/>
        <v>2.4864500000000005E-2</v>
      </c>
      <c r="AG84">
        <f t="shared" si="19"/>
        <v>5.1372538343351468E-2</v>
      </c>
      <c r="AH84">
        <f>VLOOKUP(Y84,'Hazard Weighting Functions'!$B$5:$G$1205,5,FALSE)</f>
        <v>0</v>
      </c>
      <c r="AI84">
        <f t="shared" si="20"/>
        <v>0</v>
      </c>
      <c r="AJ84">
        <f t="shared" si="21"/>
        <v>0</v>
      </c>
      <c r="AP84" s="20">
        <f>'IEC_EN62471- Halogen non-GLS'!E134</f>
        <v>425</v>
      </c>
      <c r="AQ84" s="20">
        <f t="shared" si="22"/>
        <v>26.279399999999999</v>
      </c>
      <c r="AR84">
        <f>VLOOKUP(AP84,'Hazard Weighting Functions'!$B$5:$G$1205,3,FALSE)</f>
        <v>0.95</v>
      </c>
      <c r="AS84">
        <f t="shared" si="23"/>
        <v>24.965429999999998</v>
      </c>
      <c r="AT84">
        <f t="shared" si="24"/>
        <v>131.09515999999999</v>
      </c>
      <c r="AU84" s="20">
        <f t="shared" si="11"/>
        <v>425</v>
      </c>
      <c r="AV84">
        <f>O84</f>
        <v>210235.2</v>
      </c>
      <c r="AW84" s="19">
        <f>VLOOKUP(AU84,'Hazard Weighting Functions'!$B$5:$G$1205,3,FALSE)</f>
        <v>0.95</v>
      </c>
      <c r="AX84">
        <f t="shared" si="25"/>
        <v>199723.44</v>
      </c>
      <c r="AY84" s="19">
        <f t="shared" si="26"/>
        <v>1048761.28</v>
      </c>
      <c r="AZ84" s="20">
        <f t="shared" si="2"/>
        <v>410</v>
      </c>
      <c r="BA84" s="20">
        <f t="shared" si="3"/>
        <v>170896</v>
      </c>
      <c r="BB84" s="19">
        <f>VLOOKUP(AZ84,'Hazard Weighting Functions'!$B$5:$G$1205,3,FALSE)</f>
        <v>0.4</v>
      </c>
      <c r="BC84">
        <f t="shared" si="27"/>
        <v>68358.400000000009</v>
      </c>
      <c r="BD84" s="19">
        <f t="shared" si="28"/>
        <v>161278.8760755593</v>
      </c>
      <c r="BF84" s="20">
        <f t="shared" ref="BF84:BG84" si="93">H174</f>
        <v>625</v>
      </c>
      <c r="BG84" s="20">
        <f t="shared" si="93"/>
        <v>112.345</v>
      </c>
      <c r="BH84" s="19">
        <f>VLOOKUP(BF84,'Hazard Weighting Functions'!$B$5:$G$1205,4,FALSE)</f>
        <v>1</v>
      </c>
      <c r="BI84" s="19">
        <f t="shared" si="30"/>
        <v>112.345</v>
      </c>
      <c r="BJ84" s="19">
        <f t="shared" si="31"/>
        <v>566.40750000000003</v>
      </c>
      <c r="BK84" s="1">
        <f t="shared" si="7"/>
        <v>425</v>
      </c>
      <c r="BL84" s="20">
        <f t="shared" si="8"/>
        <v>210235.2</v>
      </c>
      <c r="BM84">
        <f>VLOOKUP(BK84,'Hazard Weighting Functions'!$B$5:$G$1205,4,FALSE)</f>
        <v>9.5</v>
      </c>
      <c r="BN84">
        <f t="shared" si="76"/>
        <v>1997234.4000000001</v>
      </c>
      <c r="BO84" s="19">
        <f t="shared" si="78"/>
        <v>10487612.800000001</v>
      </c>
      <c r="BP84" s="20">
        <f t="shared" si="9"/>
        <v>410</v>
      </c>
      <c r="BQ84" s="20">
        <f t="shared" si="10"/>
        <v>170896</v>
      </c>
      <c r="BR84" s="19">
        <f>VLOOKUP(BP84,'Hazard Weighting Functions'!$B$5:$G$1205,4,FALSE)</f>
        <v>4</v>
      </c>
      <c r="BS84" s="19">
        <f t="shared" si="34"/>
        <v>683584</v>
      </c>
      <c r="BT84" s="19">
        <f t="shared" si="35"/>
        <v>1612788.7612837469</v>
      </c>
      <c r="BV84">
        <f>VLOOKUP(BK84,'Hazard Weighting Functions'!$B$5:$G$1205,5,FALSE)</f>
        <v>7.3000000000000001E-3</v>
      </c>
      <c r="BW84" s="24">
        <f t="shared" si="36"/>
        <v>1534.7169600000002</v>
      </c>
      <c r="BX84" s="24">
        <f t="shared" si="37"/>
        <v>10340.518</v>
      </c>
    </row>
    <row r="85" spans="2:76">
      <c r="B85">
        <v>312</v>
      </c>
      <c r="C85" s="36">
        <v>2.6508038343351465</v>
      </c>
      <c r="E85">
        <v>312</v>
      </c>
      <c r="F85" s="36">
        <v>2.6508038343351465</v>
      </c>
      <c r="H85" s="19">
        <v>312</v>
      </c>
      <c r="I85" s="36">
        <v>2.6508038343351465</v>
      </c>
      <c r="K85">
        <v>1280</v>
      </c>
      <c r="L85" s="36">
        <f>1295.87184*(1628/1602)</f>
        <v>1316.9034678651683</v>
      </c>
      <c r="N85">
        <v>430</v>
      </c>
      <c r="O85" s="36">
        <v>224266.4</v>
      </c>
      <c r="Q85" s="19">
        <v>412</v>
      </c>
      <c r="R85" s="36">
        <v>176051.38129781897</v>
      </c>
      <c r="V85">
        <f t="shared" si="12"/>
        <v>312</v>
      </c>
      <c r="W85">
        <f t="shared" si="13"/>
        <v>2.6508038343351465</v>
      </c>
      <c r="Y85">
        <f t="shared" si="14"/>
        <v>312</v>
      </c>
      <c r="Z85">
        <f t="shared" si="15"/>
        <v>2.6508038343351465</v>
      </c>
      <c r="AA85">
        <f>VLOOKUP(Y85,'Hazard Weighting Functions'!$B$5:$G$1205,2,FALSE)</f>
        <v>8.0999999999999996E-3</v>
      </c>
      <c r="AB85">
        <f t="shared" si="16"/>
        <v>2.1471511058114685E-2</v>
      </c>
      <c r="AC85">
        <f t="shared" si="17"/>
        <v>3.3323224482322014E-2</v>
      </c>
      <c r="AE85">
        <f>VLOOKUP(Y85,'Hazard Weighting Functions'!$B$5:$G$1205,3,FALSE)</f>
        <v>0.01</v>
      </c>
      <c r="AF85">
        <f t="shared" si="18"/>
        <v>2.6508038343351466E-2</v>
      </c>
      <c r="AG85">
        <f t="shared" si="19"/>
        <v>5.472640363908321E-2</v>
      </c>
      <c r="AH85">
        <f>VLOOKUP(Y85,'Hazard Weighting Functions'!$B$5:$G$1205,5,FALSE)</f>
        <v>0</v>
      </c>
      <c r="AI85">
        <f t="shared" si="20"/>
        <v>0</v>
      </c>
      <c r="AJ85">
        <f t="shared" si="21"/>
        <v>0</v>
      </c>
      <c r="AP85" s="20">
        <f>'IEC_EN62471- Halogen non-GLS'!E135</f>
        <v>430</v>
      </c>
      <c r="AQ85" s="20">
        <f t="shared" si="22"/>
        <v>28.033300000000001</v>
      </c>
      <c r="AR85">
        <f>VLOOKUP(AP85,'Hazard Weighting Functions'!$B$5:$G$1205,3,FALSE)</f>
        <v>0.98</v>
      </c>
      <c r="AS85">
        <f t="shared" si="23"/>
        <v>27.472633999999999</v>
      </c>
      <c r="AT85">
        <f t="shared" si="24"/>
        <v>143.304835</v>
      </c>
      <c r="AU85" s="20">
        <f t="shared" si="11"/>
        <v>430</v>
      </c>
      <c r="AV85">
        <f>O85</f>
        <v>224266.4</v>
      </c>
      <c r="AW85" s="19">
        <f>VLOOKUP(AU85,'Hazard Weighting Functions'!$B$5:$G$1205,3,FALSE)</f>
        <v>0.98</v>
      </c>
      <c r="AX85">
        <f t="shared" si="25"/>
        <v>219781.07199999999</v>
      </c>
      <c r="AY85" s="19">
        <f t="shared" si="26"/>
        <v>1146438.68</v>
      </c>
      <c r="AZ85" s="20">
        <f t="shared" si="2"/>
        <v>412</v>
      </c>
      <c r="BA85" s="20">
        <f t="shared" si="3"/>
        <v>176051.38129781897</v>
      </c>
      <c r="BB85" s="19">
        <f>VLOOKUP(AZ85,'Hazard Weighting Functions'!$B$5:$G$1205,3,FALSE)</f>
        <v>0.52780316400000005</v>
      </c>
      <c r="BC85">
        <f t="shared" si="27"/>
        <v>92920.476075559287</v>
      </c>
      <c r="BD85" s="19">
        <f t="shared" si="28"/>
        <v>219202.03896152673</v>
      </c>
      <c r="BF85" s="20">
        <f t="shared" ref="BF85:BG85" si="94">H175</f>
        <v>630</v>
      </c>
      <c r="BG85" s="20">
        <f t="shared" si="94"/>
        <v>114.218</v>
      </c>
      <c r="BH85" s="19">
        <f>VLOOKUP(BF85,'Hazard Weighting Functions'!$B$5:$G$1205,4,FALSE)</f>
        <v>1</v>
      </c>
      <c r="BI85" s="19">
        <f t="shared" si="30"/>
        <v>114.218</v>
      </c>
      <c r="BJ85" s="19">
        <f t="shared" si="31"/>
        <v>575.46249999999998</v>
      </c>
      <c r="BK85" s="1">
        <f t="shared" si="7"/>
        <v>430</v>
      </c>
      <c r="BL85" s="20">
        <f t="shared" si="8"/>
        <v>224266.4</v>
      </c>
      <c r="BM85">
        <f>VLOOKUP(BK85,'Hazard Weighting Functions'!$B$5:$G$1205,4,FALSE)</f>
        <v>9.8000000000000007</v>
      </c>
      <c r="BN85">
        <f t="shared" si="76"/>
        <v>2197810.7200000002</v>
      </c>
      <c r="BO85" s="19">
        <f t="shared" si="78"/>
        <v>11464386.800000001</v>
      </c>
      <c r="BP85" s="20">
        <f t="shared" si="9"/>
        <v>412</v>
      </c>
      <c r="BQ85" s="20">
        <f t="shared" si="10"/>
        <v>176051.38129781897</v>
      </c>
      <c r="BR85" s="19">
        <f>VLOOKUP(BP85,'Hazard Weighting Functions'!$B$5:$G$1205,4,FALSE)</f>
        <v>5.2780316430000003</v>
      </c>
      <c r="BS85" s="19">
        <f t="shared" si="34"/>
        <v>929204.76128374692</v>
      </c>
      <c r="BT85" s="19">
        <f t="shared" si="35"/>
        <v>2192020.3894181242</v>
      </c>
      <c r="BV85">
        <f>VLOOKUP(BK85,'Hazard Weighting Functions'!$B$5:$G$1205,5,FALSE)</f>
        <v>1.1599999999999999E-2</v>
      </c>
      <c r="BW85" s="24">
        <f t="shared" si="36"/>
        <v>2601.4902399999996</v>
      </c>
      <c r="BX85" s="24">
        <f t="shared" si="37"/>
        <v>16556.969839999998</v>
      </c>
    </row>
    <row r="86" spans="2:76">
      <c r="B86">
        <v>314</v>
      </c>
      <c r="C86" s="36">
        <v>2.821836529573174</v>
      </c>
      <c r="E86">
        <v>314</v>
      </c>
      <c r="F86" s="36">
        <v>2.821836529573174</v>
      </c>
      <c r="H86" s="19">
        <v>314</v>
      </c>
      <c r="I86" s="36">
        <v>2.821836529573174</v>
      </c>
      <c r="K86">
        <v>1285</v>
      </c>
      <c r="L86" s="36">
        <f>1287.19512*(1628/1602)</f>
        <v>1308.0859271910113</v>
      </c>
      <c r="N86">
        <v>435</v>
      </c>
      <c r="O86" s="36">
        <v>238794.4</v>
      </c>
      <c r="Q86" s="19">
        <v>414</v>
      </c>
      <c r="R86" s="36">
        <v>181324.27934742041</v>
      </c>
      <c r="V86">
        <f t="shared" si="12"/>
        <v>314</v>
      </c>
      <c r="W86">
        <f t="shared" si="13"/>
        <v>2.821836529573174</v>
      </c>
      <c r="Y86">
        <f t="shared" si="14"/>
        <v>314</v>
      </c>
      <c r="Z86">
        <f t="shared" si="15"/>
        <v>2.821836529573174</v>
      </c>
      <c r="AA86">
        <f>VLOOKUP(Y86,'Hazard Weighting Functions'!$B$5:$G$1205,2,FALSE)</f>
        <v>4.1999999999999997E-3</v>
      </c>
      <c r="AB86">
        <f t="shared" si="16"/>
        <v>1.1851713424207331E-2</v>
      </c>
      <c r="AC86">
        <f t="shared" si="17"/>
        <v>1.9039035113594206E-2</v>
      </c>
      <c r="AD86">
        <f>0.5*0.5*(Y87-Y86)*(Z86+Z87)</f>
        <v>2.9082769500755195</v>
      </c>
      <c r="AE86">
        <f>VLOOKUP(Y86,'Hazard Weighting Functions'!$B$5:$G$1205,3,FALSE)</f>
        <v>0.01</v>
      </c>
      <c r="AF86">
        <f t="shared" si="18"/>
        <v>2.821836529573174E-2</v>
      </c>
      <c r="AG86">
        <f t="shared" si="19"/>
        <v>5.8165539001510391E-2</v>
      </c>
      <c r="AH86">
        <f>VLOOKUP(Y86,'Hazard Weighting Functions'!$B$5:$G$1205,5,FALSE)</f>
        <v>0</v>
      </c>
      <c r="AI86">
        <f t="shared" si="20"/>
        <v>0</v>
      </c>
      <c r="AJ86">
        <f t="shared" si="21"/>
        <v>0</v>
      </c>
      <c r="AP86" s="20">
        <f>'IEC_EN62471- Halogen non-GLS'!E136</f>
        <v>435</v>
      </c>
      <c r="AQ86" s="20">
        <f t="shared" si="22"/>
        <v>29.849299999999999</v>
      </c>
      <c r="AR86">
        <f>VLOOKUP(AP86,'Hazard Weighting Functions'!$B$5:$G$1205,3,FALSE)</f>
        <v>1</v>
      </c>
      <c r="AS86">
        <f t="shared" si="23"/>
        <v>29.849299999999999</v>
      </c>
      <c r="AT86">
        <f t="shared" si="24"/>
        <v>153.80574999999999</v>
      </c>
      <c r="AU86" s="20">
        <f t="shared" si="11"/>
        <v>435</v>
      </c>
      <c r="AV86">
        <f>O86</f>
        <v>238794.4</v>
      </c>
      <c r="AW86" s="19">
        <f>VLOOKUP(AU86,'Hazard Weighting Functions'!$B$5:$G$1205,3,FALSE)</f>
        <v>1</v>
      </c>
      <c r="AX86">
        <f t="shared" si="25"/>
        <v>238794.4</v>
      </c>
      <c r="AY86" s="19">
        <f t="shared" si="26"/>
        <v>1230445.9999999998</v>
      </c>
      <c r="AZ86" s="20">
        <f t="shared" si="2"/>
        <v>414</v>
      </c>
      <c r="BA86" s="20">
        <f t="shared" si="3"/>
        <v>181324.27934742041</v>
      </c>
      <c r="BB86" s="19">
        <f>VLOOKUP(AZ86,'Hazard Weighting Functions'!$B$5:$G$1205,3,FALSE)</f>
        <v>0.69644045099999996</v>
      </c>
      <c r="BC86">
        <f t="shared" si="27"/>
        <v>126281.56288596745</v>
      </c>
      <c r="BD86" s="19">
        <f t="shared" si="28"/>
        <v>279036.31851275906</v>
      </c>
      <c r="BF86" s="20">
        <f t="shared" ref="BF86:BG86" si="95">H176</f>
        <v>635</v>
      </c>
      <c r="BG86" s="20">
        <f t="shared" si="95"/>
        <v>115.967</v>
      </c>
      <c r="BH86" s="19">
        <f>VLOOKUP(BF86,'Hazard Weighting Functions'!$B$5:$G$1205,4,FALSE)</f>
        <v>1</v>
      </c>
      <c r="BI86" s="19">
        <f t="shared" si="30"/>
        <v>115.967</v>
      </c>
      <c r="BJ86" s="19">
        <f t="shared" si="31"/>
        <v>584.32000000000005</v>
      </c>
      <c r="BK86" s="1">
        <f t="shared" si="7"/>
        <v>435</v>
      </c>
      <c r="BL86" s="20">
        <f t="shared" si="8"/>
        <v>238794.4</v>
      </c>
      <c r="BM86">
        <f>VLOOKUP(BK86,'Hazard Weighting Functions'!$B$5:$G$1205,4,FALSE)</f>
        <v>10</v>
      </c>
      <c r="BN86">
        <f t="shared" si="76"/>
        <v>2387944</v>
      </c>
      <c r="BO86" s="19">
        <f t="shared" si="78"/>
        <v>12304460</v>
      </c>
      <c r="BP86" s="20">
        <f t="shared" si="9"/>
        <v>414</v>
      </c>
      <c r="BQ86" s="20">
        <f t="shared" si="10"/>
        <v>181324.27934742041</v>
      </c>
      <c r="BR86" s="19">
        <f>VLOOKUP(BP86,'Hazard Weighting Functions'!$B$5:$G$1205,4,FALSE)</f>
        <v>6.9644045060000002</v>
      </c>
      <c r="BS86" s="19">
        <f t="shared" si="34"/>
        <v>1262815.6281343775</v>
      </c>
      <c r="BT86" s="19">
        <f t="shared" si="35"/>
        <v>2790363.1851482857</v>
      </c>
      <c r="BV86">
        <f>VLOOKUP(BK86,'Hazard Weighting Functions'!$B$5:$G$1205,5,FALSE)</f>
        <v>1.6840000000000001E-2</v>
      </c>
      <c r="BW86" s="24">
        <f t="shared" si="36"/>
        <v>4021.2976960000001</v>
      </c>
      <c r="BX86" s="24">
        <f t="shared" si="37"/>
        <v>24622.824239999994</v>
      </c>
    </row>
    <row r="87" spans="2:76">
      <c r="B87">
        <v>316</v>
      </c>
      <c r="C87" s="36">
        <v>2.9947173705778649</v>
      </c>
      <c r="E87">
        <v>316</v>
      </c>
      <c r="F87" s="36">
        <v>2.9947173705778649</v>
      </c>
      <c r="H87" s="19">
        <v>316</v>
      </c>
      <c r="I87" s="36">
        <v>2.9947173705778649</v>
      </c>
      <c r="K87">
        <v>1290</v>
      </c>
      <c r="L87" s="36">
        <f>1278.54312*(1628/1602)</f>
        <v>1299.2935077153556</v>
      </c>
      <c r="N87">
        <v>440</v>
      </c>
      <c r="O87" s="36">
        <v>253383.99999999994</v>
      </c>
      <c r="Q87" s="19">
        <v>416</v>
      </c>
      <c r="R87" s="36">
        <v>186498.02993496211</v>
      </c>
      <c r="V87">
        <f t="shared" si="12"/>
        <v>316</v>
      </c>
      <c r="W87">
        <f t="shared" si="13"/>
        <v>2.9947173705778649</v>
      </c>
      <c r="Y87">
        <f t="shared" si="14"/>
        <v>316</v>
      </c>
      <c r="Z87">
        <f t="shared" si="15"/>
        <v>2.9947173705778649</v>
      </c>
      <c r="AA87">
        <f>VLOOKUP(Y87,'Hazard Weighting Functions'!$B$5:$G$1205,2,FALSE)</f>
        <v>2.3999999999999998E-3</v>
      </c>
      <c r="AB87">
        <f t="shared" si="16"/>
        <v>7.1873216893868748E-3</v>
      </c>
      <c r="AC87">
        <f t="shared" si="17"/>
        <v>1.225751931553812E-2</v>
      </c>
      <c r="AD87">
        <f t="shared" ref="AD87:AD93" si="96">0.5*(Y88-Y87)*(Z87+Z88)</f>
        <v>6.1635908869223925</v>
      </c>
      <c r="AE87">
        <f>VLOOKUP(Y87,'Hazard Weighting Functions'!$B$5:$G$1205,3,FALSE)</f>
        <v>0.01</v>
      </c>
      <c r="AF87">
        <f t="shared" si="18"/>
        <v>2.9947173705778651E-2</v>
      </c>
      <c r="AG87">
        <f t="shared" si="19"/>
        <v>6.1635908869223932E-2</v>
      </c>
      <c r="AH87">
        <f>VLOOKUP(Y87,'Hazard Weighting Functions'!$B$5:$G$1205,5,FALSE)</f>
        <v>0</v>
      </c>
      <c r="AI87">
        <f t="shared" si="20"/>
        <v>0</v>
      </c>
      <c r="AJ87">
        <f t="shared" si="21"/>
        <v>0</v>
      </c>
      <c r="AP87" s="20">
        <f>'IEC_EN62471- Halogen non-GLS'!E137</f>
        <v>440</v>
      </c>
      <c r="AQ87" s="20">
        <f t="shared" si="22"/>
        <v>31.672999999999998</v>
      </c>
      <c r="AR87">
        <f>VLOOKUP(AP87,'Hazard Weighting Functions'!$B$5:$G$1205,3,FALSE)</f>
        <v>1</v>
      </c>
      <c r="AS87">
        <f t="shared" si="23"/>
        <v>31.672999999999998</v>
      </c>
      <c r="AT87">
        <f t="shared" si="24"/>
        <v>160.58611249999998</v>
      </c>
      <c r="AU87" s="20">
        <f t="shared" si="11"/>
        <v>440</v>
      </c>
      <c r="AV87">
        <f>O87</f>
        <v>253383.99999999994</v>
      </c>
      <c r="AW87" s="19">
        <f>VLOOKUP(AU87,'Hazard Weighting Functions'!$B$5:$G$1205,3,FALSE)</f>
        <v>1</v>
      </c>
      <c r="AX87">
        <f t="shared" si="25"/>
        <v>253383.99999999994</v>
      </c>
      <c r="AY87" s="19">
        <f t="shared" si="26"/>
        <v>1284688.8999999999</v>
      </c>
      <c r="AZ87" s="20">
        <f t="shared" si="2"/>
        <v>416</v>
      </c>
      <c r="BA87" s="20">
        <f t="shared" si="3"/>
        <v>186498.02993496211</v>
      </c>
      <c r="BB87" s="19">
        <f>VLOOKUP(AZ87,'Hazard Weighting Functions'!$B$5:$G$1205,3,FALSE)</f>
        <v>0.81906900400000004</v>
      </c>
      <c r="BC87">
        <f t="shared" si="27"/>
        <v>152754.75562679159</v>
      </c>
      <c r="BD87" s="19">
        <f t="shared" si="28"/>
        <v>317219.39994520973</v>
      </c>
      <c r="BF87" s="20">
        <f t="shared" ref="BF87:BG87" si="97">H177</f>
        <v>640</v>
      </c>
      <c r="BG87" s="20">
        <f t="shared" si="97"/>
        <v>117.76100000000001</v>
      </c>
      <c r="BH87" s="19">
        <f>VLOOKUP(BF87,'Hazard Weighting Functions'!$B$5:$G$1205,4,FALSE)</f>
        <v>1</v>
      </c>
      <c r="BI87" s="19">
        <f t="shared" si="30"/>
        <v>117.76100000000001</v>
      </c>
      <c r="BJ87" s="19">
        <f t="shared" si="31"/>
        <v>593.49500000000012</v>
      </c>
      <c r="BK87" s="1">
        <f t="shared" si="7"/>
        <v>440</v>
      </c>
      <c r="BL87" s="20">
        <f t="shared" si="8"/>
        <v>253383.99999999994</v>
      </c>
      <c r="BM87">
        <f>VLOOKUP(BK87,'Hazard Weighting Functions'!$B$5:$G$1205,4,FALSE)</f>
        <v>10</v>
      </c>
      <c r="BN87">
        <f t="shared" si="76"/>
        <v>2533839.9999999995</v>
      </c>
      <c r="BO87" s="19">
        <f t="shared" si="78"/>
        <v>12846889</v>
      </c>
      <c r="BP87" s="20">
        <f t="shared" si="9"/>
        <v>416</v>
      </c>
      <c r="BQ87" s="20">
        <f t="shared" si="10"/>
        <v>186498.02993496211</v>
      </c>
      <c r="BR87" s="19">
        <f>VLOOKUP(BP87,'Hazard Weighting Functions'!$B$5:$G$1205,4,FALSE)</f>
        <v>8.1906900440000001</v>
      </c>
      <c r="BS87" s="19">
        <f t="shared" si="34"/>
        <v>1527547.5570139082</v>
      </c>
      <c r="BT87" s="19">
        <f t="shared" si="35"/>
        <v>3172193.9996234281</v>
      </c>
      <c r="BV87">
        <f>VLOOKUP(BK87,'Hazard Weighting Functions'!$B$5:$G$1205,5,FALSE)</f>
        <v>2.3E-2</v>
      </c>
      <c r="BW87" s="24">
        <f t="shared" si="36"/>
        <v>5827.8319999999985</v>
      </c>
      <c r="BX87" s="24">
        <f t="shared" si="37"/>
        <v>34576.405999999995</v>
      </c>
    </row>
    <row r="88" spans="2:76">
      <c r="B88">
        <v>318</v>
      </c>
      <c r="C88" s="36">
        <v>3.1688735163445281</v>
      </c>
      <c r="E88">
        <v>318</v>
      </c>
      <c r="F88" s="36">
        <v>3.1688735163445281</v>
      </c>
      <c r="H88" s="19">
        <v>318</v>
      </c>
      <c r="I88" s="36">
        <v>3.1688735163445281</v>
      </c>
      <c r="K88">
        <v>1295</v>
      </c>
      <c r="L88" s="36">
        <f>1269.91584*(1628/1602)</f>
        <v>1290.5262094382022</v>
      </c>
      <c r="N88">
        <v>445</v>
      </c>
      <c r="O88" s="36">
        <v>268548</v>
      </c>
      <c r="Q88" s="19">
        <v>418</v>
      </c>
      <c r="R88" s="36">
        <v>191553.92247290231</v>
      </c>
      <c r="V88">
        <f t="shared" si="12"/>
        <v>318</v>
      </c>
      <c r="W88">
        <f t="shared" si="13"/>
        <v>3.1688735163445281</v>
      </c>
      <c r="Y88">
        <f t="shared" si="14"/>
        <v>318</v>
      </c>
      <c r="Z88">
        <f t="shared" si="15"/>
        <v>3.1688735163445281</v>
      </c>
      <c r="AA88">
        <f>VLOOKUP(Y88,'Hazard Weighting Functions'!$B$5:$G$1205,2,FALSE)</f>
        <v>1.6000000000000001E-3</v>
      </c>
      <c r="AB88">
        <f t="shared" si="16"/>
        <v>5.0701976261512448E-3</v>
      </c>
      <c r="AC88">
        <f t="shared" si="17"/>
        <v>8.4181876261512443E-3</v>
      </c>
      <c r="AD88">
        <f t="shared" si="96"/>
        <v>6.5168635163445279</v>
      </c>
      <c r="AE88">
        <f>VLOOKUP(Y88,'Hazard Weighting Functions'!$B$5:$G$1205,3,FALSE)</f>
        <v>0.01</v>
      </c>
      <c r="AF88">
        <f t="shared" si="18"/>
        <v>3.1688735163445281E-2</v>
      </c>
      <c r="AG88">
        <f t="shared" si="19"/>
        <v>6.5168635163445288E-2</v>
      </c>
      <c r="AH88">
        <f>VLOOKUP(Y88,'Hazard Weighting Functions'!$B$5:$G$1205,5,FALSE)</f>
        <v>0</v>
      </c>
      <c r="AI88">
        <f t="shared" si="20"/>
        <v>0</v>
      </c>
      <c r="AJ88">
        <f t="shared" si="21"/>
        <v>0</v>
      </c>
      <c r="AP88" s="20">
        <f>'IEC_EN62471- Halogen non-GLS'!E138</f>
        <v>445</v>
      </c>
      <c r="AQ88" s="20">
        <f t="shared" si="22"/>
        <v>33.5685</v>
      </c>
      <c r="AR88">
        <f>VLOOKUP(AP88,'Hazard Weighting Functions'!$B$5:$G$1205,3,FALSE)</f>
        <v>0.97</v>
      </c>
      <c r="AS88">
        <f t="shared" si="23"/>
        <v>32.561444999999999</v>
      </c>
      <c r="AT88">
        <f t="shared" si="24"/>
        <v>164.81333749999999</v>
      </c>
      <c r="AU88" s="20">
        <f t="shared" si="11"/>
        <v>445</v>
      </c>
      <c r="AV88">
        <f>O88</f>
        <v>268548</v>
      </c>
      <c r="AW88" s="19">
        <f>VLOOKUP(AU88,'Hazard Weighting Functions'!$B$5:$G$1205,3,FALSE)</f>
        <v>0.97</v>
      </c>
      <c r="AX88">
        <f t="shared" si="25"/>
        <v>260491.56</v>
      </c>
      <c r="AY88" s="19">
        <f t="shared" si="26"/>
        <v>1318506.6999999997</v>
      </c>
      <c r="AZ88" s="20">
        <f t="shared" si="2"/>
        <v>418</v>
      </c>
      <c r="BA88" s="20">
        <f t="shared" si="3"/>
        <v>191553.92247290231</v>
      </c>
      <c r="BB88" s="19">
        <f>VLOOKUP(AZ88,'Hazard Weighting Functions'!$B$5:$G$1205,3,FALSE)</f>
        <v>0.858581449</v>
      </c>
      <c r="BC88">
        <f t="shared" si="27"/>
        <v>164464.64431841814</v>
      </c>
      <c r="BD88" s="19">
        <f t="shared" si="28"/>
        <v>341468.72431841819</v>
      </c>
      <c r="BF88" s="20">
        <f t="shared" ref="BF88:BG88" si="98">H178</f>
        <v>645</v>
      </c>
      <c r="BG88" s="20">
        <f t="shared" si="98"/>
        <v>119.637</v>
      </c>
      <c r="BH88" s="19">
        <f>VLOOKUP(BF88,'Hazard Weighting Functions'!$B$5:$G$1205,4,FALSE)</f>
        <v>1</v>
      </c>
      <c r="BI88" s="19">
        <f t="shared" si="30"/>
        <v>119.637</v>
      </c>
      <c r="BJ88" s="19">
        <f t="shared" si="31"/>
        <v>602.60249999999996</v>
      </c>
      <c r="BK88" s="1">
        <f t="shared" si="7"/>
        <v>445</v>
      </c>
      <c r="BL88" s="20">
        <f t="shared" si="8"/>
        <v>268548</v>
      </c>
      <c r="BM88">
        <f>VLOOKUP(BK88,'Hazard Weighting Functions'!$B$5:$G$1205,4,FALSE)</f>
        <v>9.6999999999999993</v>
      </c>
      <c r="BN88">
        <f t="shared" si="76"/>
        <v>2604915.5999999996</v>
      </c>
      <c r="BO88" s="19">
        <f t="shared" si="78"/>
        <v>13185066.999999996</v>
      </c>
      <c r="BP88" s="20">
        <f t="shared" si="9"/>
        <v>418</v>
      </c>
      <c r="BQ88" s="20">
        <f t="shared" si="10"/>
        <v>191553.92247290231</v>
      </c>
      <c r="BR88" s="19">
        <f>VLOOKUP(BP88,'Hazard Weighting Functions'!$B$5:$G$1205,4,FALSE)</f>
        <v>8.5858144870000004</v>
      </c>
      <c r="BS88" s="19">
        <f t="shared" si="34"/>
        <v>1644646.4426095197</v>
      </c>
      <c r="BT88" s="19">
        <f t="shared" si="35"/>
        <v>3414687.2426095195</v>
      </c>
      <c r="BV88">
        <f>VLOOKUP(BK88,'Hazard Weighting Functions'!$B$5:$G$1205,5,FALSE)</f>
        <v>2.98E-2</v>
      </c>
      <c r="BW88" s="24">
        <f t="shared" si="36"/>
        <v>8002.7304000000004</v>
      </c>
      <c r="BX88" s="24">
        <f t="shared" si="37"/>
        <v>46981.885999999999</v>
      </c>
    </row>
    <row r="89" spans="2:76">
      <c r="B89">
        <v>320</v>
      </c>
      <c r="C89" s="36">
        <v>3.3479899999999998</v>
      </c>
      <c r="E89">
        <v>320</v>
      </c>
      <c r="F89" s="36">
        <v>3.3479899999999998</v>
      </c>
      <c r="H89" s="19">
        <v>320</v>
      </c>
      <c r="I89" s="36">
        <v>3.3479899999999998</v>
      </c>
      <c r="K89">
        <v>1300</v>
      </c>
      <c r="L89" s="36">
        <f>1261.30092*(1628/1602)</f>
        <v>1281.7714717602996</v>
      </c>
      <c r="N89">
        <v>450</v>
      </c>
      <c r="O89" s="36">
        <v>283947.99999999994</v>
      </c>
      <c r="Q89" s="19">
        <v>420</v>
      </c>
      <c r="R89" s="36">
        <v>196671.2</v>
      </c>
      <c r="V89">
        <f t="shared" si="12"/>
        <v>320</v>
      </c>
      <c r="W89">
        <f t="shared" si="13"/>
        <v>3.3479899999999998</v>
      </c>
      <c r="Y89">
        <f t="shared" si="14"/>
        <v>320</v>
      </c>
      <c r="Z89">
        <f t="shared" si="15"/>
        <v>3.3479899999999998</v>
      </c>
      <c r="AA89">
        <f>VLOOKUP(Y89,'Hazard Weighting Functions'!$B$5:$G$1205,2,FALSE)</f>
        <v>1E-3</v>
      </c>
      <c r="AB89">
        <f t="shared" si="16"/>
        <v>3.3479899999999999E-3</v>
      </c>
      <c r="AC89">
        <f t="shared" si="17"/>
        <v>5.7164807234322754E-3</v>
      </c>
      <c r="AD89">
        <f t="shared" si="96"/>
        <v>6.8830507812422024</v>
      </c>
      <c r="AE89">
        <f>VLOOKUP(Y89,'Hazard Weighting Functions'!$B$5:$G$1205,3,FALSE)</f>
        <v>0.01</v>
      </c>
      <c r="AF89">
        <f t="shared" si="18"/>
        <v>3.34799E-2</v>
      </c>
      <c r="AG89">
        <f t="shared" si="19"/>
        <v>6.8830507812422032E-2</v>
      </c>
      <c r="AH89">
        <f>VLOOKUP(Y89,'Hazard Weighting Functions'!$B$5:$G$1205,5,FALSE)</f>
        <v>0</v>
      </c>
      <c r="AI89">
        <f t="shared" si="20"/>
        <v>0</v>
      </c>
      <c r="AJ89">
        <f t="shared" si="21"/>
        <v>0</v>
      </c>
      <c r="AP89" s="20">
        <f>'IEC_EN62471- Halogen non-GLS'!E139</f>
        <v>450</v>
      </c>
      <c r="AQ89" s="20">
        <f t="shared" si="22"/>
        <v>35.493499999999997</v>
      </c>
      <c r="AR89">
        <f>VLOOKUP(AP89,'Hazard Weighting Functions'!$B$5:$G$1205,3,FALSE)</f>
        <v>0.94</v>
      </c>
      <c r="AS89">
        <f t="shared" si="23"/>
        <v>33.363889999999998</v>
      </c>
      <c r="AT89">
        <f t="shared" si="24"/>
        <v>167.81734999999998</v>
      </c>
      <c r="AU89" s="20">
        <f t="shared" si="11"/>
        <v>450</v>
      </c>
      <c r="AV89">
        <f>O89</f>
        <v>283947.99999999994</v>
      </c>
      <c r="AW89" s="19">
        <f>VLOOKUP(AU89,'Hazard Weighting Functions'!$B$5:$G$1205,3,FALSE)</f>
        <v>0.94</v>
      </c>
      <c r="AX89">
        <f t="shared" si="25"/>
        <v>266911.11999999994</v>
      </c>
      <c r="AY89" s="19">
        <f t="shared" si="26"/>
        <v>1342538.7999999998</v>
      </c>
      <c r="AZ89" s="20">
        <f t="shared" si="2"/>
        <v>420</v>
      </c>
      <c r="BA89" s="20">
        <f t="shared" si="3"/>
        <v>196671.2</v>
      </c>
      <c r="BB89" s="19">
        <f>VLOOKUP(AZ89,'Hazard Weighting Functions'!$B$5:$G$1205,3,FALSE)</f>
        <v>0.9</v>
      </c>
      <c r="BC89">
        <f t="shared" si="27"/>
        <v>177004.08000000002</v>
      </c>
      <c r="BD89" s="19">
        <f t="shared" si="28"/>
        <v>362770.35774679761</v>
      </c>
      <c r="BF89" s="20">
        <f t="shared" ref="BF89:BG89" si="99">H179</f>
        <v>650</v>
      </c>
      <c r="BG89" s="20">
        <f t="shared" si="99"/>
        <v>121.404</v>
      </c>
      <c r="BH89" s="19">
        <f>VLOOKUP(BF89,'Hazard Weighting Functions'!$B$5:$G$1205,4,FALSE)</f>
        <v>1</v>
      </c>
      <c r="BI89" s="19">
        <f t="shared" si="30"/>
        <v>121.404</v>
      </c>
      <c r="BJ89" s="19">
        <f t="shared" si="31"/>
        <v>611.23749999999995</v>
      </c>
      <c r="BK89" s="1">
        <f t="shared" si="7"/>
        <v>450</v>
      </c>
      <c r="BL89" s="20">
        <f t="shared" si="8"/>
        <v>283947.99999999994</v>
      </c>
      <c r="BM89">
        <f>VLOOKUP(BK89,'Hazard Weighting Functions'!$B$5:$G$1205,4,FALSE)</f>
        <v>9.4</v>
      </c>
      <c r="BN89">
        <f t="shared" si="76"/>
        <v>2669111.1999999997</v>
      </c>
      <c r="BO89" s="19">
        <f t="shared" si="78"/>
        <v>13425387.999999998</v>
      </c>
      <c r="BP89" s="20">
        <f t="shared" si="9"/>
        <v>420</v>
      </c>
      <c r="BQ89" s="20">
        <f t="shared" si="10"/>
        <v>196671.2</v>
      </c>
      <c r="BR89" s="19">
        <f>VLOOKUP(BP89,'Hazard Weighting Functions'!$B$5:$G$1205,4,FALSE)</f>
        <v>9</v>
      </c>
      <c r="BS89" s="19">
        <f t="shared" si="34"/>
        <v>1770040.8</v>
      </c>
      <c r="BT89" s="19">
        <f t="shared" si="35"/>
        <v>3627703.5778719578</v>
      </c>
      <c r="BV89">
        <f>VLOOKUP(BK89,'Hazard Weighting Functions'!$B$5:$G$1205,5,FALSE)</f>
        <v>3.7999999999999999E-2</v>
      </c>
      <c r="BW89" s="24">
        <f t="shared" si="36"/>
        <v>10790.023999999998</v>
      </c>
      <c r="BX89" s="24">
        <f t="shared" si="37"/>
        <v>62988.979999999996</v>
      </c>
    </row>
    <row r="90" spans="2:76">
      <c r="B90">
        <v>322</v>
      </c>
      <c r="C90" s="36">
        <v>3.535060781242203</v>
      </c>
      <c r="E90">
        <v>322</v>
      </c>
      <c r="F90" s="36">
        <v>3.535060781242203</v>
      </c>
      <c r="H90" s="19">
        <v>322</v>
      </c>
      <c r="I90" s="36">
        <v>3.535060781242203</v>
      </c>
      <c r="K90">
        <v>1305</v>
      </c>
      <c r="L90" s="36">
        <f>1252.83432*(1628/1602)</f>
        <v>1273.1674612734082</v>
      </c>
      <c r="N90">
        <v>455</v>
      </c>
      <c r="O90" s="36">
        <v>300115.99999999994</v>
      </c>
      <c r="Q90" s="19">
        <v>422</v>
      </c>
      <c r="R90" s="36">
        <v>201990.95915149007</v>
      </c>
      <c r="V90">
        <f t="shared" si="12"/>
        <v>322</v>
      </c>
      <c r="W90">
        <f t="shared" si="13"/>
        <v>3.535060781242203</v>
      </c>
      <c r="Y90">
        <f t="shared" si="14"/>
        <v>322</v>
      </c>
      <c r="Z90">
        <f t="shared" si="15"/>
        <v>3.535060781242203</v>
      </c>
      <c r="AA90">
        <f>VLOOKUP(Y90,'Hazard Weighting Functions'!$B$5:$G$1205,2,FALSE)</f>
        <v>6.7000000000000002E-4</v>
      </c>
      <c r="AB90">
        <f t="shared" si="16"/>
        <v>2.3684907234322759E-3</v>
      </c>
      <c r="AC90">
        <f t="shared" si="17"/>
        <v>4.3078697370585867E-3</v>
      </c>
      <c r="AD90">
        <f t="shared" si="96"/>
        <v>7.2646358074466466</v>
      </c>
      <c r="AE90">
        <f>VLOOKUP(Y90,'Hazard Weighting Functions'!$B$5:$G$1205,3,FALSE)</f>
        <v>0.01</v>
      </c>
      <c r="AF90">
        <f t="shared" si="18"/>
        <v>3.5350607812422032E-2</v>
      </c>
      <c r="AG90">
        <f t="shared" si="19"/>
        <v>7.2646358074466469E-2</v>
      </c>
      <c r="AH90">
        <f>VLOOKUP(Y90,'Hazard Weighting Functions'!$B$5:$G$1205,5,FALSE)</f>
        <v>0</v>
      </c>
      <c r="AI90">
        <f t="shared" si="20"/>
        <v>0</v>
      </c>
      <c r="AJ90">
        <f t="shared" si="21"/>
        <v>0</v>
      </c>
      <c r="AP90" s="20">
        <f>'IEC_EN62471- Halogen non-GLS'!E140</f>
        <v>455</v>
      </c>
      <c r="AQ90" s="20">
        <f t="shared" si="22"/>
        <v>37.514499999999998</v>
      </c>
      <c r="AR90">
        <f>VLOOKUP(AP90,'Hazard Weighting Functions'!$B$5:$G$1205,3,FALSE)</f>
        <v>0.9</v>
      </c>
      <c r="AS90">
        <f t="shared" si="23"/>
        <v>33.76305</v>
      </c>
      <c r="AT90">
        <f t="shared" si="24"/>
        <v>163.65022500000003</v>
      </c>
      <c r="AU90" s="20">
        <f t="shared" si="11"/>
        <v>455</v>
      </c>
      <c r="AV90">
        <f>O90</f>
        <v>300115.99999999994</v>
      </c>
      <c r="AW90" s="19">
        <f>VLOOKUP(AU90,'Hazard Weighting Functions'!$B$5:$G$1205,3,FALSE)</f>
        <v>0.9</v>
      </c>
      <c r="AX90">
        <f t="shared" si="25"/>
        <v>270104.39999999997</v>
      </c>
      <c r="AY90" s="19">
        <f t="shared" si="26"/>
        <v>1309201.7999999998</v>
      </c>
      <c r="AZ90" s="20">
        <f t="shared" si="2"/>
        <v>422</v>
      </c>
      <c r="BA90" s="20">
        <f t="shared" si="3"/>
        <v>201990.95915149007</v>
      </c>
      <c r="BB90" s="19">
        <f>VLOOKUP(AZ90,'Hazard Weighting Functions'!$B$5:$G$1205,3,FALSE)</f>
        <v>0.91967620000000005</v>
      </c>
      <c r="BC90">
        <f t="shared" si="27"/>
        <v>185766.27774679763</v>
      </c>
      <c r="BD90" s="19">
        <f t="shared" si="28"/>
        <v>380740.41531222808</v>
      </c>
      <c r="BF90" s="20">
        <f t="shared" ref="BF90:BG90" si="100">H180</f>
        <v>655</v>
      </c>
      <c r="BG90" s="20">
        <f t="shared" si="100"/>
        <v>123.09099999999999</v>
      </c>
      <c r="BH90" s="19">
        <f>VLOOKUP(BF90,'Hazard Weighting Functions'!$B$5:$G$1205,4,FALSE)</f>
        <v>1</v>
      </c>
      <c r="BI90" s="19">
        <f t="shared" si="30"/>
        <v>123.09099999999999</v>
      </c>
      <c r="BJ90" s="19">
        <f t="shared" si="31"/>
        <v>619.28250000000003</v>
      </c>
      <c r="BK90" s="1">
        <f t="shared" si="7"/>
        <v>455</v>
      </c>
      <c r="BL90" s="20">
        <f t="shared" si="8"/>
        <v>300115.99999999994</v>
      </c>
      <c r="BM90">
        <f>VLOOKUP(BK90,'Hazard Weighting Functions'!$B$5:$G$1205,4,FALSE)</f>
        <v>9</v>
      </c>
      <c r="BN90">
        <f t="shared" si="76"/>
        <v>2701043.9999999995</v>
      </c>
      <c r="BO90" s="19">
        <f t="shared" si="78"/>
        <v>13092017.999999998</v>
      </c>
      <c r="BP90" s="20">
        <f t="shared" si="9"/>
        <v>422</v>
      </c>
      <c r="BQ90" s="20">
        <f t="shared" si="10"/>
        <v>201990.95915149007</v>
      </c>
      <c r="BR90" s="19">
        <f>VLOOKUP(BP90,'Hazard Weighting Functions'!$B$5:$G$1205,4,FALSE)</f>
        <v>9.1967620019999998</v>
      </c>
      <c r="BS90" s="19">
        <f t="shared" si="34"/>
        <v>1857662.777871958</v>
      </c>
      <c r="BT90" s="19">
        <f t="shared" si="35"/>
        <v>3807404.1541486643</v>
      </c>
      <c r="BV90">
        <f>VLOOKUP(BK90,'Hazard Weighting Functions'!$B$5:$G$1205,5,FALSE)</f>
        <v>4.8000000000000001E-2</v>
      </c>
      <c r="BW90" s="24">
        <f t="shared" si="36"/>
        <v>14405.567999999997</v>
      </c>
      <c r="BX90" s="24">
        <f t="shared" si="37"/>
        <v>83559.479999999981</v>
      </c>
    </row>
    <row r="91" spans="2:76">
      <c r="B91">
        <v>324</v>
      </c>
      <c r="C91" s="36">
        <v>3.7295750262044436</v>
      </c>
      <c r="E91">
        <v>324</v>
      </c>
      <c r="F91" s="36">
        <v>3.7295750262044436</v>
      </c>
      <c r="H91" s="19">
        <v>324</v>
      </c>
      <c r="I91" s="36">
        <v>3.7295750262044436</v>
      </c>
      <c r="K91">
        <v>1310</v>
      </c>
      <c r="L91" s="36">
        <f>1244.4048*(1628/1602)</f>
        <v>1264.6011325842696</v>
      </c>
      <c r="N91">
        <v>460</v>
      </c>
      <c r="O91" s="36">
        <v>316970.39999999997</v>
      </c>
      <c r="Q91" s="19">
        <v>424</v>
      </c>
      <c r="R91" s="36">
        <v>207467.28423089444</v>
      </c>
      <c r="V91">
        <f t="shared" si="12"/>
        <v>324</v>
      </c>
      <c r="W91">
        <f t="shared" si="13"/>
        <v>3.7295750262044436</v>
      </c>
      <c r="Y91">
        <f t="shared" si="14"/>
        <v>324</v>
      </c>
      <c r="Z91">
        <f t="shared" si="15"/>
        <v>3.7295750262044436</v>
      </c>
      <c r="AA91">
        <f>VLOOKUP(Y91,'Hazard Weighting Functions'!$B$5:$G$1205,2,FALSE)</f>
        <v>5.1999999999999995E-4</v>
      </c>
      <c r="AB91">
        <f t="shared" si="16"/>
        <v>1.9393790136263106E-3</v>
      </c>
      <c r="AC91">
        <f t="shared" si="17"/>
        <v>3.8219758321633088E-3</v>
      </c>
      <c r="AD91">
        <f t="shared" si="96"/>
        <v>7.6598397830666531</v>
      </c>
      <c r="AE91">
        <f>VLOOKUP(Y91,'Hazard Weighting Functions'!$B$5:$G$1205,3,FALSE)</f>
        <v>0.01</v>
      </c>
      <c r="AF91">
        <f t="shared" si="18"/>
        <v>3.7295750262044437E-2</v>
      </c>
      <c r="AG91">
        <f t="shared" si="19"/>
        <v>7.6598397830666534E-2</v>
      </c>
      <c r="AH91">
        <f>VLOOKUP(Y91,'Hazard Weighting Functions'!$B$5:$G$1205,5,FALSE)</f>
        <v>0</v>
      </c>
      <c r="AI91">
        <f t="shared" si="20"/>
        <v>0</v>
      </c>
      <c r="AJ91">
        <f t="shared" si="21"/>
        <v>0</v>
      </c>
      <c r="AP91" s="20">
        <f>'IEC_EN62471- Halogen non-GLS'!E141</f>
        <v>460</v>
      </c>
      <c r="AQ91" s="20">
        <f t="shared" si="22"/>
        <v>39.621299999999998</v>
      </c>
      <c r="AR91">
        <f>VLOOKUP(AP91,'Hazard Weighting Functions'!$B$5:$G$1205,3,FALSE)</f>
        <v>0.8</v>
      </c>
      <c r="AS91">
        <f t="shared" si="23"/>
        <v>31.697040000000001</v>
      </c>
      <c r="AT91">
        <f t="shared" si="24"/>
        <v>152.224425</v>
      </c>
      <c r="AU91" s="20">
        <f t="shared" si="11"/>
        <v>460</v>
      </c>
      <c r="AV91">
        <f>O91</f>
        <v>316970.39999999997</v>
      </c>
      <c r="AW91" s="19">
        <f>VLOOKUP(AU91,'Hazard Weighting Functions'!$B$5:$G$1205,3,FALSE)</f>
        <v>0.8</v>
      </c>
      <c r="AX91">
        <f t="shared" si="25"/>
        <v>253576.31999999998</v>
      </c>
      <c r="AY91" s="19">
        <f t="shared" si="26"/>
        <v>1217795.3999999999</v>
      </c>
      <c r="AZ91" s="20">
        <f t="shared" si="2"/>
        <v>424</v>
      </c>
      <c r="BA91" s="20">
        <f t="shared" si="3"/>
        <v>207467.28423089444</v>
      </c>
      <c r="BB91" s="19">
        <f>VLOOKUP(AZ91,'Hazard Weighting Functions'!$B$5:$G$1205,3,FALSE)</f>
        <v>0.93978256999999998</v>
      </c>
      <c r="BC91">
        <f t="shared" si="27"/>
        <v>194974.13756543046</v>
      </c>
      <c r="BD91" s="19">
        <f t="shared" si="28"/>
        <v>398596.20282272028</v>
      </c>
      <c r="BF91" s="20">
        <f t="shared" ref="BF91:BG91" si="101">H181</f>
        <v>660</v>
      </c>
      <c r="BG91" s="20">
        <f t="shared" si="101"/>
        <v>124.622</v>
      </c>
      <c r="BH91" s="19">
        <f>VLOOKUP(BF91,'Hazard Weighting Functions'!$B$5:$G$1205,4,FALSE)</f>
        <v>1</v>
      </c>
      <c r="BI91" s="19">
        <f t="shared" si="30"/>
        <v>124.622</v>
      </c>
      <c r="BJ91" s="19">
        <f t="shared" si="31"/>
        <v>627.20749999999998</v>
      </c>
      <c r="BK91" s="1">
        <f t="shared" si="7"/>
        <v>460</v>
      </c>
      <c r="BL91" s="20">
        <f t="shared" si="8"/>
        <v>316970.39999999997</v>
      </c>
      <c r="BM91">
        <f>VLOOKUP(BK91,'Hazard Weighting Functions'!$B$5:$G$1205,4,FALSE)</f>
        <v>8</v>
      </c>
      <c r="BN91">
        <f t="shared" si="76"/>
        <v>2535763.1999999997</v>
      </c>
      <c r="BO91" s="19">
        <f t="shared" si="78"/>
        <v>12177954</v>
      </c>
      <c r="BP91" s="20">
        <f t="shared" si="9"/>
        <v>424</v>
      </c>
      <c r="BQ91" s="20">
        <f t="shared" si="10"/>
        <v>207467.28423089444</v>
      </c>
      <c r="BR91" s="19">
        <f>VLOOKUP(BP91,'Hazard Weighting Functions'!$B$5:$G$1205,4,FALSE)</f>
        <v>9.3978257030000005</v>
      </c>
      <c r="BS91" s="19">
        <f t="shared" si="34"/>
        <v>1949741.3762767063</v>
      </c>
      <c r="BT91" s="19">
        <f t="shared" si="35"/>
        <v>3985962.0277845524</v>
      </c>
      <c r="BV91">
        <f>VLOOKUP(BK91,'Hazard Weighting Functions'!$B$5:$G$1205,5,FALSE)</f>
        <v>0.06</v>
      </c>
      <c r="BW91" s="24">
        <f t="shared" si="36"/>
        <v>19018.223999999998</v>
      </c>
      <c r="BX91" s="24">
        <f t="shared" si="37"/>
        <v>109183.92419999998</v>
      </c>
    </row>
    <row r="92" spans="2:76">
      <c r="B92">
        <v>326</v>
      </c>
      <c r="C92" s="36">
        <v>3.9302647568622096</v>
      </c>
      <c r="E92">
        <v>326</v>
      </c>
      <c r="F92" s="36">
        <v>3.9302647568622096</v>
      </c>
      <c r="H92" s="19">
        <v>326</v>
      </c>
      <c r="I92" s="36">
        <v>3.9302647568622096</v>
      </c>
      <c r="K92">
        <v>1315</v>
      </c>
      <c r="L92" s="36">
        <f>1235.98764*(1628/1602)</f>
        <v>1256.047364494382</v>
      </c>
      <c r="N92">
        <v>465</v>
      </c>
      <c r="O92" s="36">
        <v>333631.19999999995</v>
      </c>
      <c r="Q92" s="19">
        <v>426</v>
      </c>
      <c r="R92" s="36">
        <v>213010.36592086661</v>
      </c>
      <c r="V92">
        <f t="shared" si="12"/>
        <v>326</v>
      </c>
      <c r="W92">
        <f t="shared" si="13"/>
        <v>3.9302647568622096</v>
      </c>
      <c r="Y92">
        <f t="shared" si="14"/>
        <v>326</v>
      </c>
      <c r="Z92">
        <f t="shared" si="15"/>
        <v>3.9302647568622096</v>
      </c>
      <c r="AA92">
        <f>VLOOKUP(Y92,'Hazard Weighting Functions'!$B$5:$G$1205,2,FALSE)</f>
        <v>4.7899999999999999E-4</v>
      </c>
      <c r="AB92">
        <f t="shared" si="16"/>
        <v>1.8825968185369984E-3</v>
      </c>
      <c r="AC92">
        <f t="shared" si="17"/>
        <v>3.703580925262402E-3</v>
      </c>
      <c r="AD92">
        <f t="shared" si="96"/>
        <v>8.0688649994199437</v>
      </c>
      <c r="AE92">
        <f>VLOOKUP(Y92,'Hazard Weighting Functions'!$B$5:$G$1205,3,FALSE)</f>
        <v>0.01</v>
      </c>
      <c r="AF92">
        <f t="shared" si="18"/>
        <v>3.9302647568622097E-2</v>
      </c>
      <c r="AG92">
        <f t="shared" si="19"/>
        <v>8.0688649994199446E-2</v>
      </c>
      <c r="AH92">
        <f>VLOOKUP(Y92,'Hazard Weighting Functions'!$B$5:$G$1205,5,FALSE)</f>
        <v>0</v>
      </c>
      <c r="AI92">
        <f t="shared" si="20"/>
        <v>0</v>
      </c>
      <c r="AJ92">
        <f t="shared" si="21"/>
        <v>0</v>
      </c>
      <c r="AP92" s="20">
        <f>'IEC_EN62471- Halogen non-GLS'!E142</f>
        <v>465</v>
      </c>
      <c r="AQ92" s="20">
        <f t="shared" si="22"/>
        <v>41.703899999999997</v>
      </c>
      <c r="AR92">
        <f>VLOOKUP(AP92,'Hazard Weighting Functions'!$B$5:$G$1205,3,FALSE)</f>
        <v>0.7</v>
      </c>
      <c r="AS92">
        <f t="shared" si="23"/>
        <v>29.192729999999997</v>
      </c>
      <c r="AT92">
        <f t="shared" si="24"/>
        <v>140.93274</v>
      </c>
      <c r="AU92" s="20">
        <f t="shared" si="11"/>
        <v>465</v>
      </c>
      <c r="AV92">
        <f>O92</f>
        <v>333631.19999999995</v>
      </c>
      <c r="AW92" s="19">
        <f>VLOOKUP(AU92,'Hazard Weighting Functions'!$B$5:$G$1205,3,FALSE)</f>
        <v>0.7</v>
      </c>
      <c r="AX92">
        <f t="shared" si="25"/>
        <v>233541.83999999994</v>
      </c>
      <c r="AY92" s="19">
        <f t="shared" si="26"/>
        <v>1127461.92</v>
      </c>
      <c r="AZ92" s="20">
        <f t="shared" ref="AZ92:AZ138" si="102">Q92</f>
        <v>426</v>
      </c>
      <c r="BA92" s="20">
        <f t="shared" ref="BA92:BA138" si="103">R92</f>
        <v>213010.36592086661</v>
      </c>
      <c r="BB92" s="19">
        <f>VLOOKUP(AZ92,'Hazard Weighting Functions'!$B$5:$G$1205,3,FALSE)</f>
        <v>0.95592561600000003</v>
      </c>
      <c r="BC92">
        <f t="shared" si="27"/>
        <v>203622.06525728983</v>
      </c>
      <c r="BD92" s="19">
        <f t="shared" si="28"/>
        <v>415198.6590736683</v>
      </c>
      <c r="BF92" s="20">
        <f t="shared" ref="BF92:BG92" si="104">H182</f>
        <v>665</v>
      </c>
      <c r="BG92" s="20">
        <f t="shared" si="104"/>
        <v>126.26100000000001</v>
      </c>
      <c r="BH92" s="19">
        <f>VLOOKUP(BF92,'Hazard Weighting Functions'!$B$5:$G$1205,4,FALSE)</f>
        <v>1</v>
      </c>
      <c r="BI92" s="19">
        <f t="shared" si="30"/>
        <v>126.26100000000001</v>
      </c>
      <c r="BJ92" s="19">
        <f t="shared" si="31"/>
        <v>635.35500000000002</v>
      </c>
      <c r="BK92" s="1">
        <f t="shared" ref="BK92:BK155" si="105">N92</f>
        <v>465</v>
      </c>
      <c r="BL92" s="20">
        <f t="shared" ref="BL92:BL155" si="106">O92</f>
        <v>333631.19999999995</v>
      </c>
      <c r="BM92">
        <f>VLOOKUP(BK92,'Hazard Weighting Functions'!$B$5:$G$1205,4,FALSE)</f>
        <v>7</v>
      </c>
      <c r="BN92">
        <f t="shared" si="76"/>
        <v>2335418.3999999994</v>
      </c>
      <c r="BO92" s="19">
        <f t="shared" si="78"/>
        <v>11274619.199999999</v>
      </c>
      <c r="BP92" s="20">
        <f t="shared" ref="BP92:BQ155" si="107">Q92</f>
        <v>426</v>
      </c>
      <c r="BQ92" s="20">
        <f t="shared" si="107"/>
        <v>213010.36592086661</v>
      </c>
      <c r="BR92" s="19">
        <f>VLOOKUP(BP92,'Hazard Weighting Functions'!$B$5:$G$1205,4,FALSE)</f>
        <v>9.5592561549999999</v>
      </c>
      <c r="BS92" s="19">
        <f t="shared" si="34"/>
        <v>2036220.6515078463</v>
      </c>
      <c r="BT92" s="19">
        <f t="shared" si="35"/>
        <v>4151986.5898902267</v>
      </c>
      <c r="BV92">
        <f>VLOOKUP(BK92,'Hazard Weighting Functions'!$B$5:$G$1205,5,FALSE)</f>
        <v>7.3899999999999993E-2</v>
      </c>
      <c r="BW92" s="24">
        <f t="shared" si="36"/>
        <v>24655.345679999995</v>
      </c>
      <c r="BX92" s="24">
        <f t="shared" si="37"/>
        <v>141408.35448000001</v>
      </c>
    </row>
    <row r="93" spans="2:76">
      <c r="B93">
        <v>328</v>
      </c>
      <c r="C93" s="36">
        <v>4.1386002425577351</v>
      </c>
      <c r="E93">
        <v>328</v>
      </c>
      <c r="F93" s="36">
        <v>4.1386002425577351</v>
      </c>
      <c r="H93" s="19">
        <v>328</v>
      </c>
      <c r="I93" s="36">
        <v>4.1386002425577351</v>
      </c>
      <c r="K93">
        <v>1320</v>
      </c>
      <c r="L93" s="36">
        <f>1227.5952*(1628/1602)</f>
        <v>1247.518717602996</v>
      </c>
      <c r="N93">
        <v>470</v>
      </c>
      <c r="O93" s="36">
        <v>350714.4</v>
      </c>
      <c r="Q93" s="19">
        <v>428</v>
      </c>
      <c r="R93" s="36">
        <v>218596.16253143435</v>
      </c>
      <c r="V93">
        <f t="shared" si="12"/>
        <v>328</v>
      </c>
      <c r="W93">
        <f t="shared" si="13"/>
        <v>4.1386002425577351</v>
      </c>
      <c r="Y93">
        <f t="shared" si="14"/>
        <v>328</v>
      </c>
      <c r="Z93">
        <f t="shared" si="15"/>
        <v>4.1386002425577351</v>
      </c>
      <c r="AA93">
        <f>VLOOKUP(Y93,'Hazard Weighting Functions'!$B$5:$G$1205,2,FALSE)</f>
        <v>4.4000000000000002E-4</v>
      </c>
      <c r="AB93">
        <f t="shared" si="16"/>
        <v>1.8209841067254036E-3</v>
      </c>
      <c r="AC93">
        <f t="shared" si="17"/>
        <v>3.6080880067254038E-3</v>
      </c>
      <c r="AD93">
        <f t="shared" si="96"/>
        <v>8.497390242557735</v>
      </c>
      <c r="AE93">
        <f>VLOOKUP(Y93,'Hazard Weighting Functions'!$B$5:$G$1205,3,FALSE)</f>
        <v>0.01</v>
      </c>
      <c r="AF93">
        <f t="shared" si="18"/>
        <v>4.1386002425577349E-2</v>
      </c>
      <c r="AG93">
        <f t="shared" si="19"/>
        <v>8.4973902425577355E-2</v>
      </c>
      <c r="AH93">
        <f>VLOOKUP(Y93,'Hazard Weighting Functions'!$B$5:$G$1205,5,FALSE)</f>
        <v>0</v>
      </c>
      <c r="AI93">
        <f t="shared" si="20"/>
        <v>0</v>
      </c>
      <c r="AJ93">
        <f t="shared" si="21"/>
        <v>0</v>
      </c>
      <c r="AP93" s="20">
        <f>'IEC_EN62471- Halogen non-GLS'!E143</f>
        <v>470</v>
      </c>
      <c r="AQ93" s="20">
        <f t="shared" si="22"/>
        <v>43.839300000000001</v>
      </c>
      <c r="AR93">
        <f>VLOOKUP(AP93,'Hazard Weighting Functions'!$B$5:$G$1205,3,FALSE)</f>
        <v>0.62</v>
      </c>
      <c r="AS93">
        <f t="shared" si="23"/>
        <v>27.180365999999999</v>
      </c>
      <c r="AT93">
        <f t="shared" si="24"/>
        <v>131.16997749999999</v>
      </c>
      <c r="AU93" s="20">
        <f t="shared" ref="AU93:AU139" si="108">N93</f>
        <v>470</v>
      </c>
      <c r="AV93">
        <f>O93</f>
        <v>350714.4</v>
      </c>
      <c r="AW93" s="19">
        <f>VLOOKUP(AU93,'Hazard Weighting Functions'!$B$5:$G$1205,3,FALSE)</f>
        <v>0.62</v>
      </c>
      <c r="AX93">
        <f t="shared" si="25"/>
        <v>217442.92800000001</v>
      </c>
      <c r="AY93" s="19">
        <f t="shared" si="26"/>
        <v>1049359.8199999998</v>
      </c>
      <c r="AZ93" s="20">
        <f t="shared" si="102"/>
        <v>428</v>
      </c>
      <c r="BA93" s="20">
        <f t="shared" si="103"/>
        <v>218596.16253143435</v>
      </c>
      <c r="BB93" s="19">
        <f>VLOOKUP(AZ93,'Hazard Weighting Functions'!$B$5:$G$1205,3,FALSE)</f>
        <v>0.96788795999999999</v>
      </c>
      <c r="BC93">
        <f t="shared" si="27"/>
        <v>211576.59381637844</v>
      </c>
      <c r="BD93" s="19">
        <f t="shared" si="28"/>
        <v>431357.66581637843</v>
      </c>
      <c r="BF93" s="20">
        <f t="shared" ref="BF93:BG93" si="109">H183</f>
        <v>670</v>
      </c>
      <c r="BG93" s="20">
        <f t="shared" si="109"/>
        <v>127.881</v>
      </c>
      <c r="BH93" s="19">
        <f>VLOOKUP(BF93,'Hazard Weighting Functions'!$B$5:$G$1205,4,FALSE)</f>
        <v>1</v>
      </c>
      <c r="BI93" s="19">
        <f t="shared" si="30"/>
        <v>127.881</v>
      </c>
      <c r="BJ93" s="19">
        <f t="shared" si="31"/>
        <v>643.35500000000002</v>
      </c>
      <c r="BK93" s="1">
        <f t="shared" si="105"/>
        <v>470</v>
      </c>
      <c r="BL93" s="20">
        <f t="shared" si="106"/>
        <v>350714.4</v>
      </c>
      <c r="BM93">
        <f>VLOOKUP(BK93,'Hazard Weighting Functions'!$B$5:$G$1205,4,FALSE)</f>
        <v>6.2</v>
      </c>
      <c r="BN93">
        <f t="shared" si="76"/>
        <v>2174429.2800000003</v>
      </c>
      <c r="BO93" s="19">
        <f t="shared" si="78"/>
        <v>10493598.200000001</v>
      </c>
      <c r="BP93" s="20">
        <f t="shared" si="107"/>
        <v>428</v>
      </c>
      <c r="BQ93" s="20">
        <f t="shared" si="107"/>
        <v>218596.16253143435</v>
      </c>
      <c r="BR93" s="19">
        <f>VLOOKUP(BP93,'Hazard Weighting Functions'!$B$5:$G$1205,4,FALSE)</f>
        <v>9.6788796010000002</v>
      </c>
      <c r="BS93" s="19">
        <f t="shared" si="34"/>
        <v>2115765.9383823806</v>
      </c>
      <c r="BT93" s="19">
        <f t="shared" si="35"/>
        <v>4313576.6583823804</v>
      </c>
      <c r="BV93">
        <f>VLOOKUP(BK93,'Hazard Weighting Functions'!$B$5:$G$1205,5,FALSE)</f>
        <v>9.0980000000000005E-2</v>
      </c>
      <c r="BW93" s="24">
        <f t="shared" si="36"/>
        <v>31907.996112000004</v>
      </c>
      <c r="BX93" s="24">
        <f t="shared" si="37"/>
        <v>183311.32027999999</v>
      </c>
    </row>
    <row r="94" spans="2:76">
      <c r="B94">
        <v>330</v>
      </c>
      <c r="C94" s="36">
        <v>4.3587900000000008</v>
      </c>
      <c r="E94">
        <v>330</v>
      </c>
      <c r="F94" s="36">
        <v>4.3587900000000008</v>
      </c>
      <c r="H94" s="19">
        <v>330</v>
      </c>
      <c r="I94" s="36">
        <v>4.3587900000000008</v>
      </c>
      <c r="K94">
        <v>1325</v>
      </c>
      <c r="L94" s="36">
        <f>1219.226244*(1628/1602)</f>
        <v>1239.0139358501874</v>
      </c>
      <c r="N94">
        <v>475</v>
      </c>
      <c r="O94" s="36">
        <v>367819.99999999994</v>
      </c>
      <c r="Q94" s="19">
        <v>430</v>
      </c>
      <c r="R94" s="36">
        <v>224266.4</v>
      </c>
      <c r="V94">
        <f t="shared" ref="V94:V157" si="110">B94</f>
        <v>330</v>
      </c>
      <c r="W94">
        <f t="shared" ref="W94:W157" si="111">C94</f>
        <v>4.3587900000000008</v>
      </c>
      <c r="Y94">
        <f t="shared" ref="Y94:Y157" si="112">V94</f>
        <v>330</v>
      </c>
      <c r="Z94">
        <f t="shared" ref="Z94:Z157" si="113">W94</f>
        <v>4.3587900000000008</v>
      </c>
      <c r="AA94">
        <f>VLOOKUP(Y94,'Hazard Weighting Functions'!$B$5:$G$1205,2,FALSE)</f>
        <v>4.0999999999999999E-4</v>
      </c>
      <c r="AB94">
        <f t="shared" ref="AB94:AB157" si="114">Z94*AA94</f>
        <v>1.7871039000000003E-3</v>
      </c>
      <c r="AC94">
        <f t="shared" ref="AC94:AC157" si="115">0.5*(Y95-Y94)*(AB94+AB95)</f>
        <v>3.5465670113503335E-3</v>
      </c>
      <c r="AD94">
        <f t="shared" ref="AD94:AD127" si="116">0.5*(Y95-Y94)*(Z94+Z95)</f>
        <v>8.9526884630557007</v>
      </c>
      <c r="AE94">
        <f>VLOOKUP(Y94,'Hazard Weighting Functions'!$B$5:$G$1205,3,FALSE)</f>
        <v>0.01</v>
      </c>
      <c r="AF94">
        <f t="shared" ref="AF94:AF157" si="117">AE94*Z94</f>
        <v>4.3587900000000006E-2</v>
      </c>
      <c r="AG94">
        <f t="shared" ref="AG94:AG157" si="118">0.5*(Y95-Y94)*(AF94+AF95)</f>
        <v>8.952688463055701E-2</v>
      </c>
      <c r="AH94">
        <f>VLOOKUP(Y94,'Hazard Weighting Functions'!$B$5:$G$1205,5,FALSE)</f>
        <v>0</v>
      </c>
      <c r="AI94">
        <f t="shared" ref="AI94:AI157" si="119">AH94*Z94</f>
        <v>0</v>
      </c>
      <c r="AJ94">
        <f t="shared" ref="AJ94:AJ157" si="120">0.5*(Y95-Y94)*(AI94+AI95)</f>
        <v>0</v>
      </c>
      <c r="AP94" s="20">
        <f>'IEC_EN62471- Halogen non-GLS'!E144</f>
        <v>475</v>
      </c>
      <c r="AQ94" s="20">
        <f t="shared" ref="AQ94:AQ139" si="121">IF($G$8&lt;100,IF($G$9&lt;100,C144,F144),F144)</f>
        <v>45.977499999999999</v>
      </c>
      <c r="AR94">
        <f>VLOOKUP(AP94,'Hazard Weighting Functions'!$B$5:$G$1205,3,FALSE)</f>
        <v>0.55000000000000004</v>
      </c>
      <c r="AS94">
        <f t="shared" ref="AS94:AS139" si="122">AQ94*AR94</f>
        <v>25.287625000000002</v>
      </c>
      <c r="AT94">
        <f t="shared" ref="AT94:AT138" si="123">0.5*(AP95-AP94)*(AS94+AS95)</f>
        <v>117.35136249999999</v>
      </c>
      <c r="AU94" s="20">
        <f t="shared" si="108"/>
        <v>475</v>
      </c>
      <c r="AV94">
        <f>O94</f>
        <v>367819.99999999994</v>
      </c>
      <c r="AW94" s="19">
        <f>VLOOKUP(AU94,'Hazard Weighting Functions'!$B$5:$G$1205,3,FALSE)</f>
        <v>0.55000000000000004</v>
      </c>
      <c r="AX94">
        <f t="shared" ref="AX94:AX139" si="124">AV94*AW94</f>
        <v>202300.99999999997</v>
      </c>
      <c r="AY94" s="19">
        <f t="shared" ref="AY94:AY138" si="125">0.5*(AU95-AU94)*(AX94+AX95)</f>
        <v>938810.89999999991</v>
      </c>
      <c r="AZ94" s="20">
        <f t="shared" si="102"/>
        <v>430</v>
      </c>
      <c r="BA94" s="20">
        <f t="shared" si="103"/>
        <v>224266.4</v>
      </c>
      <c r="BB94" s="19">
        <f>VLOOKUP(AZ94,'Hazard Weighting Functions'!$B$5:$G$1205,3,FALSE)</f>
        <v>0.98</v>
      </c>
      <c r="BC94">
        <f t="shared" ref="BC94:BC138" si="126">BA94*BB94</f>
        <v>219781.07199999999</v>
      </c>
      <c r="BD94" s="19">
        <f t="shared" ref="BD94:BD138" si="127">0.5*(AZ95-AZ94)*(BC94+BC95)</f>
        <v>447055.2238304714</v>
      </c>
      <c r="BF94" s="20">
        <f t="shared" ref="BF94:BG94" si="128">H184</f>
        <v>675</v>
      </c>
      <c r="BG94" s="20">
        <f t="shared" si="128"/>
        <v>129.46100000000001</v>
      </c>
      <c r="BH94" s="19">
        <f>VLOOKUP(BF94,'Hazard Weighting Functions'!$B$5:$G$1205,4,FALSE)</f>
        <v>1</v>
      </c>
      <c r="BI94" s="19">
        <f t="shared" ref="BI94:BI157" si="129">BG94*BH94</f>
        <v>129.46100000000001</v>
      </c>
      <c r="BJ94" s="19">
        <f t="shared" ref="BJ94:BJ157" si="130">0.5*(BF95-BF94)*(BI94+BI95)</f>
        <v>650.64750000000004</v>
      </c>
      <c r="BK94" s="1">
        <f t="shared" si="105"/>
        <v>475</v>
      </c>
      <c r="BL94" s="20">
        <f t="shared" si="106"/>
        <v>367819.99999999994</v>
      </c>
      <c r="BM94">
        <f>VLOOKUP(BK94,'Hazard Weighting Functions'!$B$5:$G$1205,4,FALSE)</f>
        <v>5.5</v>
      </c>
      <c r="BN94">
        <f t="shared" ref="BN94:BN157" si="131">BM94*BL94</f>
        <v>2023009.9999999998</v>
      </c>
      <c r="BO94" s="19">
        <f t="shared" si="78"/>
        <v>9388109</v>
      </c>
      <c r="BP94" s="20">
        <f t="shared" si="107"/>
        <v>430</v>
      </c>
      <c r="BQ94" s="20">
        <f t="shared" si="107"/>
        <v>224266.4</v>
      </c>
      <c r="BR94" s="19">
        <f>VLOOKUP(BP94,'Hazard Weighting Functions'!$B$5:$G$1205,4,FALSE)</f>
        <v>9.8000000000000007</v>
      </c>
      <c r="BS94" s="19">
        <f t="shared" ref="BS94:BS157" si="132">BR94*BQ94</f>
        <v>2197810.7200000002</v>
      </c>
      <c r="BT94" s="19">
        <f t="shared" ref="BT94:BT157" si="133">0.5*(BP95-BP94)*(BS94+BS95)</f>
        <v>4470552.2371544857</v>
      </c>
      <c r="BV94">
        <f>VLOOKUP(BK94,'Hazard Weighting Functions'!$B$5:$G$1205,5,FALSE)</f>
        <v>0.11260000000000001</v>
      </c>
      <c r="BW94" s="24">
        <f t="shared" ref="BW94:BW155" si="134">BV94*BL94</f>
        <v>41416.531999999992</v>
      </c>
      <c r="BX94" s="24">
        <f t="shared" ref="BX94:BX154" si="135">0.5*(BK95-BK94)*(BW94+BW95)</f>
        <v>237327.50503999996</v>
      </c>
    </row>
    <row r="95" spans="2:76">
      <c r="B95">
        <v>332</v>
      </c>
      <c r="C95" s="36">
        <v>4.5938984630557007</v>
      </c>
      <c r="E95">
        <v>332</v>
      </c>
      <c r="F95" s="36">
        <v>4.5938984630557007</v>
      </c>
      <c r="H95" s="19">
        <v>332</v>
      </c>
      <c r="I95" s="36">
        <v>4.5938984630557007</v>
      </c>
      <c r="K95">
        <v>1330</v>
      </c>
      <c r="L95" s="36">
        <f>1210.880772*(1628/1602)</f>
        <v>1230.533019235955</v>
      </c>
      <c r="N95">
        <v>480</v>
      </c>
      <c r="O95" s="36">
        <v>384940.79999999999</v>
      </c>
      <c r="Q95" s="19">
        <v>432</v>
      </c>
      <c r="R95" s="36">
        <v>230045.84842304155</v>
      </c>
      <c r="V95">
        <f t="shared" si="110"/>
        <v>332</v>
      </c>
      <c r="W95">
        <f t="shared" si="111"/>
        <v>4.5938984630557007</v>
      </c>
      <c r="Y95">
        <f t="shared" si="112"/>
        <v>332</v>
      </c>
      <c r="Z95">
        <f t="shared" si="113"/>
        <v>4.5938984630557007</v>
      </c>
      <c r="AA95">
        <f>VLOOKUP(Y95,'Hazard Weighting Functions'!$B$5:$G$1205,2,FALSE)</f>
        <v>3.8299999999999999E-4</v>
      </c>
      <c r="AB95">
        <f t="shared" si="114"/>
        <v>1.7594631113503332E-3</v>
      </c>
      <c r="AC95">
        <f t="shared" si="115"/>
        <v>3.4783509299879415E-3</v>
      </c>
      <c r="AD95">
        <f t="shared" si="116"/>
        <v>9.4358359803447378</v>
      </c>
      <c r="AE95">
        <f>VLOOKUP(Y95,'Hazard Weighting Functions'!$B$5:$G$1205,3,FALSE)</f>
        <v>0.01</v>
      </c>
      <c r="AF95">
        <f t="shared" si="117"/>
        <v>4.5938984630557005E-2</v>
      </c>
      <c r="AG95">
        <f t="shared" si="118"/>
        <v>9.4358359803447367E-2</v>
      </c>
      <c r="AH95">
        <f>VLOOKUP(Y95,'Hazard Weighting Functions'!$B$5:$G$1205,5,FALSE)</f>
        <v>0</v>
      </c>
      <c r="AI95">
        <f t="shared" si="119"/>
        <v>0</v>
      </c>
      <c r="AJ95">
        <f t="shared" si="120"/>
        <v>0</v>
      </c>
      <c r="AP95" s="20">
        <f>'IEC_EN62471- Halogen non-GLS'!E145</f>
        <v>480</v>
      </c>
      <c r="AQ95" s="20">
        <f t="shared" si="121"/>
        <v>48.117600000000003</v>
      </c>
      <c r="AR95">
        <f>VLOOKUP(AP95,'Hazard Weighting Functions'!$B$5:$G$1205,3,FALSE)</f>
        <v>0.45</v>
      </c>
      <c r="AS95">
        <f t="shared" si="122"/>
        <v>21.652920000000002</v>
      </c>
      <c r="AT95">
        <f t="shared" si="123"/>
        <v>104.41510000000001</v>
      </c>
      <c r="AU95" s="20">
        <f t="shared" si="108"/>
        <v>480</v>
      </c>
      <c r="AV95">
        <f>O95</f>
        <v>384940.79999999999</v>
      </c>
      <c r="AW95" s="19">
        <f>VLOOKUP(AU95,'Hazard Weighting Functions'!$B$5:$G$1205,3,FALSE)</f>
        <v>0.45</v>
      </c>
      <c r="AX95">
        <f t="shared" si="124"/>
        <v>173223.36</v>
      </c>
      <c r="AY95" s="19">
        <f t="shared" si="125"/>
        <v>835320.8</v>
      </c>
      <c r="AZ95" s="20">
        <f t="shared" si="102"/>
        <v>432</v>
      </c>
      <c r="BA95" s="20">
        <f t="shared" si="103"/>
        <v>230045.84842304155</v>
      </c>
      <c r="BB95" s="19">
        <f>VLOOKUP(AZ95,'Hazard Weighting Functions'!$B$5:$G$1205,3,FALSE)</f>
        <v>0.98795154699999999</v>
      </c>
      <c r="BC95">
        <f t="shared" si="126"/>
        <v>227274.15183047141</v>
      </c>
      <c r="BD95" s="19">
        <f t="shared" si="127"/>
        <v>462203.00853097194</v>
      </c>
      <c r="BF95" s="20">
        <f t="shared" ref="BF95:BG95" si="136">H185</f>
        <v>680</v>
      </c>
      <c r="BG95" s="20">
        <f t="shared" si="136"/>
        <v>130.798</v>
      </c>
      <c r="BH95" s="19">
        <f>VLOOKUP(BF95,'Hazard Weighting Functions'!$B$5:$G$1205,4,FALSE)</f>
        <v>1</v>
      </c>
      <c r="BI95" s="19">
        <f t="shared" si="129"/>
        <v>130.798</v>
      </c>
      <c r="BJ95" s="19">
        <f t="shared" si="130"/>
        <v>657.19749999999999</v>
      </c>
      <c r="BK95" s="1">
        <f t="shared" si="105"/>
        <v>480</v>
      </c>
      <c r="BL95" s="20">
        <f t="shared" si="106"/>
        <v>384940.79999999999</v>
      </c>
      <c r="BM95">
        <f>VLOOKUP(BK95,'Hazard Weighting Functions'!$B$5:$G$1205,4,FALSE)</f>
        <v>4.5</v>
      </c>
      <c r="BN95">
        <f t="shared" si="131"/>
        <v>1732233.5999999999</v>
      </c>
      <c r="BO95" s="19">
        <f t="shared" si="78"/>
        <v>8353208</v>
      </c>
      <c r="BP95" s="20">
        <f t="shared" si="107"/>
        <v>432</v>
      </c>
      <c r="BQ95" s="20">
        <f t="shared" si="107"/>
        <v>230045.84842304155</v>
      </c>
      <c r="BR95" s="19">
        <f>VLOOKUP(BP95,'Hazard Weighting Functions'!$B$5:$G$1205,4,FALSE)</f>
        <v>9.8795154650000008</v>
      </c>
      <c r="BS95" s="19">
        <f t="shared" si="132"/>
        <v>2272741.517154485</v>
      </c>
      <c r="BT95" s="19">
        <f t="shared" si="133"/>
        <v>4622030.0829800898</v>
      </c>
      <c r="BV95">
        <f>VLOOKUP(BK95,'Hazard Weighting Functions'!$B$5:$G$1205,5,FALSE)</f>
        <v>0.13902</v>
      </c>
      <c r="BW95" s="24">
        <f t="shared" si="134"/>
        <v>53514.470015999999</v>
      </c>
      <c r="BX95" s="24">
        <f t="shared" si="135"/>
        <v>304043.73583999998</v>
      </c>
    </row>
    <row r="96" spans="2:76">
      <c r="B96">
        <v>334</v>
      </c>
      <c r="C96" s="36">
        <v>4.8419375172890371</v>
      </c>
      <c r="E96">
        <v>334</v>
      </c>
      <c r="F96" s="36">
        <v>4.8419375172890371</v>
      </c>
      <c r="H96" s="19">
        <v>334</v>
      </c>
      <c r="I96" s="36">
        <v>4.8419375172890371</v>
      </c>
      <c r="K96">
        <v>1335</v>
      </c>
      <c r="L96" s="36">
        <f>1202.561256*(1628/1602)</f>
        <v>1222.0784798801499</v>
      </c>
      <c r="N96">
        <v>485</v>
      </c>
      <c r="O96" s="36">
        <v>402262.4</v>
      </c>
      <c r="Q96" s="19">
        <v>434</v>
      </c>
      <c r="R96" s="36">
        <v>235880.01668510132</v>
      </c>
      <c r="V96">
        <f t="shared" si="110"/>
        <v>334</v>
      </c>
      <c r="W96">
        <f t="shared" si="111"/>
        <v>4.8419375172890371</v>
      </c>
      <c r="Y96">
        <f t="shared" si="112"/>
        <v>334</v>
      </c>
      <c r="Z96">
        <f t="shared" si="113"/>
        <v>4.8419375172890371</v>
      </c>
      <c r="AA96">
        <f>VLOOKUP(Y96,'Hazard Weighting Functions'!$B$5:$G$1205,2,FALSE)</f>
        <v>3.5500000000000001E-4</v>
      </c>
      <c r="AB96">
        <f t="shared" si="114"/>
        <v>1.7188878186376081E-3</v>
      </c>
      <c r="AC96">
        <f t="shared" si="115"/>
        <v>3.3865177181738402E-3</v>
      </c>
      <c r="AD96">
        <f t="shared" si="116"/>
        <v>9.9417231427821022</v>
      </c>
      <c r="AE96">
        <f>VLOOKUP(Y96,'Hazard Weighting Functions'!$B$5:$G$1205,3,FALSE)</f>
        <v>0.01</v>
      </c>
      <c r="AF96">
        <f t="shared" si="117"/>
        <v>4.8419375172890369E-2</v>
      </c>
      <c r="AG96">
        <f t="shared" si="118"/>
        <v>9.941723142782101E-2</v>
      </c>
      <c r="AH96">
        <f>VLOOKUP(Y96,'Hazard Weighting Functions'!$B$5:$G$1205,5,FALSE)</f>
        <v>0</v>
      </c>
      <c r="AI96">
        <f t="shared" si="119"/>
        <v>0</v>
      </c>
      <c r="AJ96">
        <f t="shared" si="120"/>
        <v>0</v>
      </c>
      <c r="AP96" s="20">
        <f>'IEC_EN62471- Halogen non-GLS'!E146</f>
        <v>485</v>
      </c>
      <c r="AQ96" s="20">
        <f t="shared" si="121"/>
        <v>50.282800000000002</v>
      </c>
      <c r="AR96">
        <f>VLOOKUP(AP96,'Hazard Weighting Functions'!$B$5:$G$1205,3,FALSE)</f>
        <v>0.4</v>
      </c>
      <c r="AS96">
        <f t="shared" si="122"/>
        <v>20.113120000000002</v>
      </c>
      <c r="AT96">
        <f t="shared" si="123"/>
        <v>79.289085</v>
      </c>
      <c r="AU96" s="20">
        <f t="shared" si="108"/>
        <v>485</v>
      </c>
      <c r="AV96">
        <f>O96</f>
        <v>402262.4</v>
      </c>
      <c r="AW96" s="19">
        <f>VLOOKUP(AU96,'Hazard Weighting Functions'!$B$5:$G$1205,3,FALSE)</f>
        <v>0.4</v>
      </c>
      <c r="AX96">
        <f t="shared" si="124"/>
        <v>160904.96000000002</v>
      </c>
      <c r="AY96" s="19">
        <f t="shared" si="125"/>
        <v>634312.68000000005</v>
      </c>
      <c r="AZ96" s="20">
        <f t="shared" si="102"/>
        <v>434</v>
      </c>
      <c r="BA96" s="20">
        <f t="shared" si="103"/>
        <v>235880.01668510132</v>
      </c>
      <c r="BB96" s="19">
        <f>VLOOKUP(AZ96,'Hazard Weighting Functions'!$B$5:$G$1205,3,FALSE)</f>
        <v>0.99596761099999997</v>
      </c>
      <c r="BC96">
        <f t="shared" si="126"/>
        <v>234928.8567005005</v>
      </c>
      <c r="BD96" s="19">
        <f t="shared" si="127"/>
        <v>476626.78485767031</v>
      </c>
      <c r="BF96" s="20">
        <f t="shared" ref="BF96:BG96" si="137">H186</f>
        <v>685</v>
      </c>
      <c r="BG96" s="20">
        <f t="shared" si="137"/>
        <v>132.08100000000002</v>
      </c>
      <c r="BH96" s="19">
        <f>VLOOKUP(BF96,'Hazard Weighting Functions'!$B$5:$G$1205,4,FALSE)</f>
        <v>1</v>
      </c>
      <c r="BI96" s="19">
        <f t="shared" si="129"/>
        <v>132.08100000000002</v>
      </c>
      <c r="BJ96" s="19">
        <f t="shared" si="130"/>
        <v>663.55500000000006</v>
      </c>
      <c r="BK96" s="1">
        <f t="shared" si="105"/>
        <v>485</v>
      </c>
      <c r="BL96" s="20">
        <f t="shared" si="106"/>
        <v>402262.4</v>
      </c>
      <c r="BM96">
        <f>VLOOKUP(BK96,'Hazard Weighting Functions'!$B$5:$G$1205,4,FALSE)</f>
        <v>4</v>
      </c>
      <c r="BN96">
        <f t="shared" si="131"/>
        <v>1609049.6</v>
      </c>
      <c r="BO96" s="19">
        <f t="shared" si="78"/>
        <v>6343126.8000000007</v>
      </c>
      <c r="BP96" s="20">
        <f t="shared" si="107"/>
        <v>434</v>
      </c>
      <c r="BQ96" s="20">
        <f t="shared" si="107"/>
        <v>235880.01668510132</v>
      </c>
      <c r="BR96" s="19">
        <f>VLOOKUP(BP96,'Hazard Weighting Functions'!$B$5:$G$1205,4,FALSE)</f>
        <v>9.9596761049999998</v>
      </c>
      <c r="BS96" s="19">
        <f t="shared" si="132"/>
        <v>2349288.5658256048</v>
      </c>
      <c r="BT96" s="19">
        <f t="shared" si="133"/>
        <v>4766267.8473973032</v>
      </c>
      <c r="BV96">
        <f>VLOOKUP(BK96,'Hazard Weighting Functions'!$B$5:$G$1205,5,FALSE)</f>
        <v>0.16930000000000001</v>
      </c>
      <c r="BW96" s="24">
        <f t="shared" si="134"/>
        <v>68103.024320000011</v>
      </c>
      <c r="BX96" s="24">
        <f t="shared" si="135"/>
        <v>389671.64828000008</v>
      </c>
    </row>
    <row r="97" spans="2:76">
      <c r="B97">
        <v>336</v>
      </c>
      <c r="C97" s="36">
        <v>5.0997856254930642</v>
      </c>
      <c r="E97">
        <v>336</v>
      </c>
      <c r="F97" s="36">
        <v>5.0997856254930642</v>
      </c>
      <c r="H97" s="19">
        <v>336</v>
      </c>
      <c r="I97" s="36">
        <v>5.0997856254930642</v>
      </c>
      <c r="K97">
        <v>1340</v>
      </c>
      <c r="L97" s="36">
        <f>1194.267696*(1628/1602)</f>
        <v>1213.6503177827717</v>
      </c>
      <c r="N97">
        <v>490</v>
      </c>
      <c r="O97" s="36">
        <v>421909.6</v>
      </c>
      <c r="Q97" s="19">
        <v>436</v>
      </c>
      <c r="R97" s="36">
        <v>241697.92815716984</v>
      </c>
      <c r="V97">
        <f t="shared" si="110"/>
        <v>336</v>
      </c>
      <c r="W97">
        <f t="shared" si="111"/>
        <v>5.0997856254930642</v>
      </c>
      <c r="Y97">
        <f t="shared" si="112"/>
        <v>336</v>
      </c>
      <c r="Z97">
        <f t="shared" si="113"/>
        <v>5.0997856254930642</v>
      </c>
      <c r="AA97">
        <f>VLOOKUP(Y97,'Hazard Weighting Functions'!$B$5:$G$1205,2,FALSE)</f>
        <v>3.2699999999999998E-4</v>
      </c>
      <c r="AB97">
        <f t="shared" si="114"/>
        <v>1.6676298995362319E-3</v>
      </c>
      <c r="AC97">
        <f t="shared" si="115"/>
        <v>3.2939232174137491E-3</v>
      </c>
      <c r="AD97">
        <f t="shared" si="116"/>
        <v>10.46709030495682</v>
      </c>
      <c r="AE97">
        <f>VLOOKUP(Y97,'Hazard Weighting Functions'!$B$5:$G$1205,3,FALSE)</f>
        <v>0.01</v>
      </c>
      <c r="AF97">
        <f t="shared" si="117"/>
        <v>5.099785625493064E-2</v>
      </c>
      <c r="AG97">
        <f t="shared" si="118"/>
        <v>0.10467090304956819</v>
      </c>
      <c r="AH97">
        <f>VLOOKUP(Y97,'Hazard Weighting Functions'!$B$5:$G$1205,5,FALSE)</f>
        <v>0</v>
      </c>
      <c r="AI97">
        <f t="shared" si="119"/>
        <v>0</v>
      </c>
      <c r="AJ97">
        <f t="shared" si="120"/>
        <v>0</v>
      </c>
      <c r="AP97" s="20">
        <f>'IEC_EN62471- Halogen non-GLS'!E147</f>
        <v>490</v>
      </c>
      <c r="AQ97" s="20">
        <f t="shared" si="121"/>
        <v>52.738700000000001</v>
      </c>
      <c r="AR97">
        <f>VLOOKUP(AP97,'Hazard Weighting Functions'!$B$5:$G$1205,3,FALSE)</f>
        <v>0.22</v>
      </c>
      <c r="AS97">
        <f t="shared" si="122"/>
        <v>11.602514000000001</v>
      </c>
      <c r="AT97">
        <f t="shared" si="123"/>
        <v>50.993884999999999</v>
      </c>
      <c r="AU97" s="20">
        <f t="shared" si="108"/>
        <v>490</v>
      </c>
      <c r="AV97">
        <f>O97</f>
        <v>421909.6</v>
      </c>
      <c r="AW97" s="19">
        <f>VLOOKUP(AU97,'Hazard Weighting Functions'!$B$5:$G$1205,3,FALSE)</f>
        <v>0.22</v>
      </c>
      <c r="AX97">
        <f t="shared" si="124"/>
        <v>92820.111999999994</v>
      </c>
      <c r="AY97" s="19">
        <f t="shared" si="125"/>
        <v>407951.08</v>
      </c>
      <c r="AZ97" s="20">
        <f t="shared" si="102"/>
        <v>436</v>
      </c>
      <c r="BA97" s="20">
        <f t="shared" si="103"/>
        <v>241697.92815716984</v>
      </c>
      <c r="BB97" s="19">
        <f>VLOOKUP(AZ97,'Hazard Weighting Functions'!$B$5:$G$1205,3,FALSE)</f>
        <v>1</v>
      </c>
      <c r="BC97">
        <f t="shared" si="126"/>
        <v>241697.92815716984</v>
      </c>
      <c r="BD97" s="19">
        <f t="shared" si="127"/>
        <v>489203.11952434847</v>
      </c>
      <c r="BF97" s="20">
        <f t="shared" ref="BF97:BG97" si="138">H187</f>
        <v>690</v>
      </c>
      <c r="BG97" s="20">
        <f t="shared" si="138"/>
        <v>133.34100000000001</v>
      </c>
      <c r="BH97" s="19">
        <f>VLOOKUP(BF97,'Hazard Weighting Functions'!$B$5:$G$1205,4,FALSE)</f>
        <v>1</v>
      </c>
      <c r="BI97" s="19">
        <f t="shared" si="129"/>
        <v>133.34100000000001</v>
      </c>
      <c r="BJ97" s="19">
        <f t="shared" si="130"/>
        <v>669.99750000000006</v>
      </c>
      <c r="BK97" s="1">
        <f t="shared" si="105"/>
        <v>490</v>
      </c>
      <c r="BL97" s="20">
        <f t="shared" si="106"/>
        <v>421909.6</v>
      </c>
      <c r="BM97">
        <f>VLOOKUP(BK97,'Hazard Weighting Functions'!$B$5:$G$1205,4,FALSE)</f>
        <v>2.2000000000000002</v>
      </c>
      <c r="BN97">
        <f t="shared" si="131"/>
        <v>928201.12</v>
      </c>
      <c r="BO97" s="19">
        <f t="shared" si="78"/>
        <v>4079510.8000000003</v>
      </c>
      <c r="BP97" s="20">
        <f t="shared" si="107"/>
        <v>436</v>
      </c>
      <c r="BQ97" s="20">
        <f t="shared" si="107"/>
        <v>241697.92815716984</v>
      </c>
      <c r="BR97" s="19">
        <f>VLOOKUP(BP97,'Hazard Weighting Functions'!$B$5:$G$1205,4,FALSE)</f>
        <v>10</v>
      </c>
      <c r="BS97" s="19">
        <f t="shared" si="132"/>
        <v>2416979.2815716984</v>
      </c>
      <c r="BT97" s="19">
        <f t="shared" si="133"/>
        <v>4892031.1952434853</v>
      </c>
      <c r="BV97">
        <f>VLOOKUP(BK97,'Hazard Weighting Functions'!$B$5:$G$1205,5,FALSE)</f>
        <v>0.20802000000000001</v>
      </c>
      <c r="BW97" s="24">
        <f t="shared" si="134"/>
        <v>87765.634992000007</v>
      </c>
      <c r="BX97" s="24">
        <f t="shared" si="135"/>
        <v>503713.75547999993</v>
      </c>
    </row>
    <row r="98" spans="2:76">
      <c r="B98">
        <v>338</v>
      </c>
      <c r="C98" s="36">
        <v>5.3673046794637544</v>
      </c>
      <c r="E98">
        <v>338</v>
      </c>
      <c r="F98" s="36">
        <v>5.3673046794637544</v>
      </c>
      <c r="H98" s="19">
        <v>338</v>
      </c>
      <c r="I98" s="36">
        <v>5.3673046794637544</v>
      </c>
      <c r="K98">
        <v>1345</v>
      </c>
      <c r="L98" s="36">
        <f>1186.002564*(1628/1602)</f>
        <v>1205.2510450636703</v>
      </c>
      <c r="N98">
        <v>495</v>
      </c>
      <c r="O98" s="36">
        <v>439752</v>
      </c>
      <c r="Q98" s="19">
        <v>438</v>
      </c>
      <c r="R98" s="36">
        <v>247505.19136717863</v>
      </c>
      <c r="V98">
        <f t="shared" si="110"/>
        <v>338</v>
      </c>
      <c r="W98">
        <f t="shared" si="111"/>
        <v>5.3673046794637544</v>
      </c>
      <c r="Y98">
        <f t="shared" si="112"/>
        <v>338</v>
      </c>
      <c r="Z98">
        <f t="shared" si="113"/>
        <v>5.3673046794637544</v>
      </c>
      <c r="AA98">
        <f>VLOOKUP(Y98,'Hazard Weighting Functions'!$B$5:$G$1205,2,FALSE)</f>
        <v>3.0299999999999999E-4</v>
      </c>
      <c r="AB98">
        <f t="shared" si="114"/>
        <v>1.6262933178775175E-3</v>
      </c>
      <c r="AC98">
        <f t="shared" si="115"/>
        <v>3.2075485178775171E-3</v>
      </c>
      <c r="AD98">
        <f t="shared" si="116"/>
        <v>11.014644679463753</v>
      </c>
      <c r="AE98">
        <f>VLOOKUP(Y98,'Hazard Weighting Functions'!$B$5:$G$1205,3,FALSE)</f>
        <v>0.01</v>
      </c>
      <c r="AF98">
        <f t="shared" si="117"/>
        <v>5.3673046794637545E-2</v>
      </c>
      <c r="AG98">
        <f t="shared" si="118"/>
        <v>0.11014644679463755</v>
      </c>
      <c r="AH98">
        <f>VLOOKUP(Y98,'Hazard Weighting Functions'!$B$5:$G$1205,5,FALSE)</f>
        <v>0</v>
      </c>
      <c r="AI98">
        <f t="shared" si="119"/>
        <v>0</v>
      </c>
      <c r="AJ98">
        <f t="shared" si="120"/>
        <v>0</v>
      </c>
      <c r="AP98" s="20">
        <f>'IEC_EN62471- Halogen non-GLS'!E148</f>
        <v>495</v>
      </c>
      <c r="AQ98" s="20">
        <f t="shared" si="121"/>
        <v>54.969000000000001</v>
      </c>
      <c r="AR98">
        <f>VLOOKUP(AP98,'Hazard Weighting Functions'!$B$5:$G$1205,3,FALSE)</f>
        <v>0.16</v>
      </c>
      <c r="AS98">
        <f t="shared" si="122"/>
        <v>8.7950400000000002</v>
      </c>
      <c r="AT98">
        <f t="shared" si="123"/>
        <v>36.296050000000001</v>
      </c>
      <c r="AU98" s="20">
        <f t="shared" si="108"/>
        <v>495</v>
      </c>
      <c r="AV98">
        <f>O98</f>
        <v>439752</v>
      </c>
      <c r="AW98" s="19">
        <f>VLOOKUP(AU98,'Hazard Weighting Functions'!$B$5:$G$1205,3,FALSE)</f>
        <v>0.16</v>
      </c>
      <c r="AX98">
        <f t="shared" si="124"/>
        <v>70360.320000000007</v>
      </c>
      <c r="AY98" s="19">
        <f t="shared" si="125"/>
        <v>290368.40000000002</v>
      </c>
      <c r="AZ98" s="20">
        <f t="shared" si="102"/>
        <v>438</v>
      </c>
      <c r="BA98" s="20">
        <f t="shared" si="103"/>
        <v>247505.19136717863</v>
      </c>
      <c r="BB98" s="19">
        <f>VLOOKUP(AZ98,'Hazard Weighting Functions'!$B$5:$G$1205,3,FALSE)</f>
        <v>1</v>
      </c>
      <c r="BC98">
        <f t="shared" si="126"/>
        <v>247505.19136717863</v>
      </c>
      <c r="BD98" s="19">
        <f t="shared" si="127"/>
        <v>500889.19136717863</v>
      </c>
      <c r="BF98" s="20">
        <f t="shared" ref="BF98:BG98" si="139">H188</f>
        <v>695</v>
      </c>
      <c r="BG98" s="20">
        <f t="shared" si="139"/>
        <v>134.65799999999999</v>
      </c>
      <c r="BH98" s="19">
        <f>VLOOKUP(BF98,'Hazard Weighting Functions'!$B$5:$G$1205,4,FALSE)</f>
        <v>1</v>
      </c>
      <c r="BI98" s="19">
        <f t="shared" si="129"/>
        <v>134.65799999999999</v>
      </c>
      <c r="BJ98" s="19">
        <f t="shared" si="130"/>
        <v>676.3</v>
      </c>
      <c r="BK98" s="1">
        <f t="shared" si="105"/>
        <v>495</v>
      </c>
      <c r="BL98" s="20">
        <f t="shared" si="106"/>
        <v>439752</v>
      </c>
      <c r="BM98">
        <f>VLOOKUP(BK98,'Hazard Weighting Functions'!$B$5:$G$1205,4,FALSE)</f>
        <v>1.6</v>
      </c>
      <c r="BN98">
        <f t="shared" si="131"/>
        <v>703603.20000000007</v>
      </c>
      <c r="BO98" s="19">
        <f t="shared" si="78"/>
        <v>2903684</v>
      </c>
      <c r="BP98" s="20">
        <f t="shared" si="107"/>
        <v>438</v>
      </c>
      <c r="BQ98" s="20">
        <f t="shared" si="107"/>
        <v>247505.19136717863</v>
      </c>
      <c r="BR98" s="19">
        <f>VLOOKUP(BP98,'Hazard Weighting Functions'!$B$5:$G$1205,4,FALSE)</f>
        <v>10</v>
      </c>
      <c r="BS98" s="19">
        <f t="shared" si="132"/>
        <v>2475051.9136717864</v>
      </c>
      <c r="BT98" s="19">
        <f t="shared" si="133"/>
        <v>5008891.913671786</v>
      </c>
      <c r="BV98">
        <f>VLOOKUP(BK98,'Hazard Weighting Functions'!$B$5:$G$1205,5,FALSE)</f>
        <v>0.2586</v>
      </c>
      <c r="BW98" s="24">
        <f t="shared" si="134"/>
        <v>113719.86719999999</v>
      </c>
      <c r="BX98" s="24">
        <f t="shared" si="135"/>
        <v>654030.01600000006</v>
      </c>
    </row>
    <row r="99" spans="2:76">
      <c r="B99">
        <v>340</v>
      </c>
      <c r="C99" s="36">
        <v>5.6473399999999998</v>
      </c>
      <c r="E99">
        <v>340</v>
      </c>
      <c r="F99" s="36">
        <v>5.6473399999999998</v>
      </c>
      <c r="H99" s="19">
        <v>340</v>
      </c>
      <c r="I99" s="36">
        <v>5.6473399999999998</v>
      </c>
      <c r="K99">
        <v>1350</v>
      </c>
      <c r="L99" s="36">
        <f>1177.764624*(1628/1602)</f>
        <v>1196.8794056629213</v>
      </c>
      <c r="N99">
        <v>500</v>
      </c>
      <c r="O99" s="36">
        <v>457870.4</v>
      </c>
      <c r="Q99" s="19">
        <v>440</v>
      </c>
      <c r="R99" s="36">
        <v>253384</v>
      </c>
      <c r="V99">
        <f t="shared" si="110"/>
        <v>340</v>
      </c>
      <c r="W99">
        <f t="shared" si="111"/>
        <v>5.6473399999999998</v>
      </c>
      <c r="Y99">
        <f t="shared" si="112"/>
        <v>340</v>
      </c>
      <c r="Z99">
        <f t="shared" si="113"/>
        <v>5.6473399999999998</v>
      </c>
      <c r="AA99">
        <f>VLOOKUP(Y99,'Hazard Weighting Functions'!$B$5:$G$1205,2,FALSE)</f>
        <v>2.7999999999999998E-4</v>
      </c>
      <c r="AB99">
        <f t="shared" si="114"/>
        <v>1.5812551999999998E-3</v>
      </c>
      <c r="AC99">
        <f t="shared" si="115"/>
        <v>3.1436824075843873E-3</v>
      </c>
      <c r="AD99">
        <f t="shared" si="116"/>
        <v>11.588127861537597</v>
      </c>
      <c r="AE99">
        <f>VLOOKUP(Y99,'Hazard Weighting Functions'!$B$5:$G$1205,3,FALSE)</f>
        <v>0.01</v>
      </c>
      <c r="AF99">
        <f t="shared" si="117"/>
        <v>5.64734E-2</v>
      </c>
      <c r="AG99">
        <f t="shared" si="118"/>
        <v>0.11588127861537596</v>
      </c>
      <c r="AH99">
        <f>VLOOKUP(Y99,'Hazard Weighting Functions'!$B$5:$G$1205,5,FALSE)</f>
        <v>0</v>
      </c>
      <c r="AI99">
        <f t="shared" si="119"/>
        <v>0</v>
      </c>
      <c r="AJ99">
        <f t="shared" si="120"/>
        <v>0</v>
      </c>
      <c r="AP99" s="20">
        <f>'IEC_EN62471- Halogen non-GLS'!E149</f>
        <v>500</v>
      </c>
      <c r="AQ99" s="20">
        <f t="shared" si="121"/>
        <v>57.233800000000002</v>
      </c>
      <c r="AR99">
        <f>VLOOKUP(AP99,'Hazard Weighting Functions'!$B$5:$G$1205,3,FALSE)</f>
        <v>0.1</v>
      </c>
      <c r="AS99">
        <f t="shared" si="122"/>
        <v>5.7233800000000006</v>
      </c>
      <c r="AT99">
        <f t="shared" si="123"/>
        <v>26.076684999999998</v>
      </c>
      <c r="AU99" s="20">
        <f t="shared" si="108"/>
        <v>500</v>
      </c>
      <c r="AV99">
        <f>O99</f>
        <v>457870.4</v>
      </c>
      <c r="AW99" s="19">
        <f>VLOOKUP(AU99,'Hazard Weighting Functions'!$B$5:$G$1205,3,FALSE)</f>
        <v>0.1</v>
      </c>
      <c r="AX99">
        <f t="shared" si="124"/>
        <v>45787.040000000008</v>
      </c>
      <c r="AY99" s="19">
        <f t="shared" si="125"/>
        <v>208613.48</v>
      </c>
      <c r="AZ99" s="20">
        <f t="shared" si="102"/>
        <v>440</v>
      </c>
      <c r="BA99" s="20">
        <f t="shared" si="103"/>
        <v>253384</v>
      </c>
      <c r="BB99" s="19">
        <f>VLOOKUP(AZ99,'Hazard Weighting Functions'!$B$5:$G$1205,3,FALSE)</f>
        <v>1</v>
      </c>
      <c r="BC99">
        <f t="shared" si="126"/>
        <v>253384</v>
      </c>
      <c r="BD99" s="19">
        <f t="shared" si="127"/>
        <v>509636.61424869287</v>
      </c>
      <c r="BF99" s="20">
        <f t="shared" ref="BF99:BG99" si="140">H189</f>
        <v>700</v>
      </c>
      <c r="BG99" s="20">
        <f t="shared" si="140"/>
        <v>135.86200000000002</v>
      </c>
      <c r="BH99" s="19">
        <f>VLOOKUP(BF99,'Hazard Weighting Functions'!$B$5:$G$1205,4,FALSE)</f>
        <v>1</v>
      </c>
      <c r="BI99" s="19">
        <f t="shared" si="129"/>
        <v>135.86200000000002</v>
      </c>
      <c r="BJ99" s="19">
        <f t="shared" si="130"/>
        <v>674.24086250000016</v>
      </c>
      <c r="BK99" s="1">
        <f t="shared" si="105"/>
        <v>500</v>
      </c>
      <c r="BL99" s="20">
        <f t="shared" si="106"/>
        <v>457870.4</v>
      </c>
      <c r="BM99">
        <f>VLOOKUP(BK99,'Hazard Weighting Functions'!$B$5:$G$1205,4,FALSE)</f>
        <v>1</v>
      </c>
      <c r="BN99">
        <f t="shared" si="131"/>
        <v>457870.4</v>
      </c>
      <c r="BO99" s="19">
        <f t="shared" si="78"/>
        <v>2336396</v>
      </c>
      <c r="BP99" s="20">
        <f t="shared" si="107"/>
        <v>440</v>
      </c>
      <c r="BQ99" s="20">
        <f t="shared" si="107"/>
        <v>253384</v>
      </c>
      <c r="BR99" s="19">
        <f>VLOOKUP(BP99,'Hazard Weighting Functions'!$B$5:$G$1205,4,FALSE)</f>
        <v>10</v>
      </c>
      <c r="BS99" s="19">
        <f t="shared" si="132"/>
        <v>2533840</v>
      </c>
      <c r="BT99" s="19">
        <f t="shared" si="133"/>
        <v>5096366.1414493537</v>
      </c>
      <c r="BV99">
        <f>VLOOKUP(BK99,'Hazard Weighting Functions'!$B$5:$G$1205,5,FALSE)</f>
        <v>0.32300000000000001</v>
      </c>
      <c r="BW99" s="24">
        <f t="shared" si="134"/>
        <v>147892.13920000001</v>
      </c>
      <c r="BX99" s="24">
        <f t="shared" si="135"/>
        <v>855117.90399999998</v>
      </c>
    </row>
    <row r="100" spans="2:76">
      <c r="B100">
        <v>342</v>
      </c>
      <c r="C100" s="36">
        <v>5.9407878615375962</v>
      </c>
      <c r="E100">
        <v>342</v>
      </c>
      <c r="F100" s="36">
        <v>5.9407878615375962</v>
      </c>
      <c r="H100" s="19">
        <v>342</v>
      </c>
      <c r="I100" s="36">
        <v>5.9407878615375962</v>
      </c>
      <c r="K100">
        <v>1355</v>
      </c>
      <c r="L100" s="36">
        <f>1169.555112*(1628/1602)</f>
        <v>1188.5366556404495</v>
      </c>
      <c r="N100">
        <v>505</v>
      </c>
      <c r="O100" s="36">
        <v>476688</v>
      </c>
      <c r="Q100" s="19">
        <v>442</v>
      </c>
      <c r="R100" s="36">
        <v>259393.81157109168</v>
      </c>
      <c r="V100">
        <f t="shared" si="110"/>
        <v>342</v>
      </c>
      <c r="W100">
        <f t="shared" si="111"/>
        <v>5.9407878615375962</v>
      </c>
      <c r="Y100">
        <f t="shared" si="112"/>
        <v>342</v>
      </c>
      <c r="Z100">
        <f t="shared" si="113"/>
        <v>5.9407878615375962</v>
      </c>
      <c r="AA100">
        <f>VLOOKUP(Y100,'Hazard Weighting Functions'!$B$5:$G$1205,2,FALSE)</f>
        <v>2.63E-4</v>
      </c>
      <c r="AB100">
        <f t="shared" si="114"/>
        <v>1.5624272075843877E-3</v>
      </c>
      <c r="AC100">
        <f t="shared" si="115"/>
        <v>3.1100041225532219E-3</v>
      </c>
      <c r="AD100">
        <f t="shared" si="116"/>
        <v>12.18101735737967</v>
      </c>
      <c r="AE100">
        <f>VLOOKUP(Y100,'Hazard Weighting Functions'!$B$5:$G$1205,3,FALSE)</f>
        <v>0.01</v>
      </c>
      <c r="AF100">
        <f t="shared" si="117"/>
        <v>5.9407878615375963E-2</v>
      </c>
      <c r="AG100">
        <f t="shared" si="118"/>
        <v>0.1218101735737967</v>
      </c>
      <c r="AH100">
        <f>VLOOKUP(Y100,'Hazard Weighting Functions'!$B$5:$G$1205,5,FALSE)</f>
        <v>0</v>
      </c>
      <c r="AI100">
        <f t="shared" si="119"/>
        <v>0</v>
      </c>
      <c r="AJ100">
        <f t="shared" si="120"/>
        <v>0</v>
      </c>
      <c r="AP100" s="20">
        <f>'IEC_EN62471- Halogen non-GLS'!E150</f>
        <v>505</v>
      </c>
      <c r="AQ100" s="20">
        <f t="shared" si="121"/>
        <v>59.585999999999999</v>
      </c>
      <c r="AR100">
        <f>VLOOKUP(AP100,'Hazard Weighting Functions'!$B$5:$G$1205,3,FALSE)</f>
        <v>7.9000000000000001E-2</v>
      </c>
      <c r="AS100">
        <f t="shared" si="122"/>
        <v>4.7072940000000001</v>
      </c>
      <c r="AT100">
        <f t="shared" si="123"/>
        <v>21.520713750000002</v>
      </c>
      <c r="AU100" s="20">
        <f t="shared" si="108"/>
        <v>505</v>
      </c>
      <c r="AV100">
        <f>O100</f>
        <v>476688</v>
      </c>
      <c r="AW100" s="19">
        <f>VLOOKUP(AU100,'Hazard Weighting Functions'!$B$5:$G$1205,3,FALSE)</f>
        <v>7.9000000000000001E-2</v>
      </c>
      <c r="AX100">
        <f t="shared" si="124"/>
        <v>37658.351999999999</v>
      </c>
      <c r="AY100" s="19">
        <f t="shared" si="125"/>
        <v>172165.70999999996</v>
      </c>
      <c r="AZ100" s="20">
        <f t="shared" si="102"/>
        <v>442</v>
      </c>
      <c r="BA100" s="20">
        <f t="shared" si="103"/>
        <v>259393.81157109168</v>
      </c>
      <c r="BB100" s="19">
        <f>VLOOKUP(AZ100,'Hazard Weighting Functions'!$B$5:$G$1205,3,FALSE)</f>
        <v>0.98789023799999998</v>
      </c>
      <c r="BC100">
        <f t="shared" si="126"/>
        <v>256252.6142486929</v>
      </c>
      <c r="BD100" s="19">
        <f t="shared" si="127"/>
        <v>515351.32970238989</v>
      </c>
      <c r="BF100" s="20">
        <f t="shared" ref="BF100:BG100" si="141">H190</f>
        <v>705</v>
      </c>
      <c r="BG100" s="20">
        <f t="shared" si="141"/>
        <v>136.98500000000001</v>
      </c>
      <c r="BH100" s="19">
        <f>VLOOKUP(BF100,'Hazard Weighting Functions'!$B$5:$G$1205,4,FALSE)</f>
        <v>0.97699999999999998</v>
      </c>
      <c r="BI100" s="19">
        <f t="shared" si="129"/>
        <v>133.83434500000001</v>
      </c>
      <c r="BJ100" s="19">
        <f t="shared" si="130"/>
        <v>664.02982500000007</v>
      </c>
      <c r="BK100" s="1">
        <f t="shared" si="105"/>
        <v>505</v>
      </c>
      <c r="BL100" s="20">
        <f t="shared" si="106"/>
        <v>476688</v>
      </c>
      <c r="BM100">
        <f>VLOOKUP(BK100,'Hazard Weighting Functions'!$B$5:$G$1205,4,FALSE)</f>
        <v>1</v>
      </c>
      <c r="BN100">
        <f t="shared" si="131"/>
        <v>476688</v>
      </c>
      <c r="BO100" s="19">
        <f t="shared" si="78"/>
        <v>2430129.9999999995</v>
      </c>
      <c r="BP100" s="20">
        <f t="shared" si="107"/>
        <v>442</v>
      </c>
      <c r="BQ100" s="20">
        <f t="shared" si="107"/>
        <v>259393.81157109168</v>
      </c>
      <c r="BR100" s="19">
        <f>VLOOKUP(BP100,'Hazard Weighting Functions'!$B$5:$G$1205,4,FALSE)</f>
        <v>9.8789023759999992</v>
      </c>
      <c r="BS100" s="19">
        <f t="shared" si="132"/>
        <v>2562526.1414493537</v>
      </c>
      <c r="BT100" s="19">
        <f t="shared" si="133"/>
        <v>5153513.2973137731</v>
      </c>
      <c r="BV100">
        <f>VLOOKUP(BK100,'Hazard Weighting Functions'!$B$5:$G$1205,5,FALSE)</f>
        <v>0.4073</v>
      </c>
      <c r="BW100" s="24">
        <f t="shared" si="134"/>
        <v>194155.02239999999</v>
      </c>
      <c r="BX100" s="24">
        <f t="shared" si="135"/>
        <v>1108307.7859999998</v>
      </c>
    </row>
    <row r="101" spans="2:76">
      <c r="B101">
        <v>344</v>
      </c>
      <c r="C101" s="36">
        <v>6.2402294958420725</v>
      </c>
      <c r="E101">
        <v>344</v>
      </c>
      <c r="F101" s="36">
        <v>6.2402294958420725</v>
      </c>
      <c r="H101" s="19">
        <v>344</v>
      </c>
      <c r="I101" s="36">
        <v>6.2402294958420725</v>
      </c>
      <c r="K101">
        <v>1360</v>
      </c>
      <c r="L101" s="36">
        <f>1161.3765*(1628/1602)</f>
        <v>1180.2253071161049</v>
      </c>
      <c r="N101">
        <v>510</v>
      </c>
      <c r="O101" s="36">
        <v>495363.99999999988</v>
      </c>
      <c r="Q101" s="19">
        <v>444</v>
      </c>
      <c r="R101" s="36">
        <v>265489.81976052391</v>
      </c>
      <c r="V101">
        <f t="shared" si="110"/>
        <v>344</v>
      </c>
      <c r="W101">
        <f t="shared" si="111"/>
        <v>6.2402294958420725</v>
      </c>
      <c r="Y101">
        <f t="shared" si="112"/>
        <v>344</v>
      </c>
      <c r="Z101">
        <f t="shared" si="113"/>
        <v>6.2402294958420725</v>
      </c>
      <c r="AA101">
        <f>VLOOKUP(Y101,'Hazard Weighting Functions'!$B$5:$G$1205,2,FALSE)</f>
        <v>2.4800000000000001E-4</v>
      </c>
      <c r="AB101">
        <f t="shared" si="114"/>
        <v>1.5475769149688341E-3</v>
      </c>
      <c r="AC101">
        <f t="shared" si="115"/>
        <v>3.0575306464182346E-3</v>
      </c>
      <c r="AD101">
        <f t="shared" si="116"/>
        <v>12.776825735882767</v>
      </c>
      <c r="AE101">
        <f>VLOOKUP(Y101,'Hazard Weighting Functions'!$B$5:$G$1205,3,FALSE)</f>
        <v>0.01</v>
      </c>
      <c r="AF101">
        <f t="shared" si="117"/>
        <v>6.2402294958420729E-2</v>
      </c>
      <c r="AG101">
        <f t="shared" si="118"/>
        <v>0.12776825735882769</v>
      </c>
      <c r="AH101">
        <f>VLOOKUP(Y101,'Hazard Weighting Functions'!$B$5:$G$1205,5,FALSE)</f>
        <v>0</v>
      </c>
      <c r="AI101">
        <f t="shared" si="119"/>
        <v>0</v>
      </c>
      <c r="AJ101">
        <f t="shared" si="120"/>
        <v>0</v>
      </c>
      <c r="AP101" s="20">
        <f>'IEC_EN62471- Halogen non-GLS'!E151</f>
        <v>510</v>
      </c>
      <c r="AQ101" s="20">
        <f t="shared" si="121"/>
        <v>61.920499999999997</v>
      </c>
      <c r="AR101">
        <f>VLOOKUP(AP101,'Hazard Weighting Functions'!$B$5:$G$1205,3,FALSE)</f>
        <v>6.3E-2</v>
      </c>
      <c r="AS101">
        <f t="shared" si="122"/>
        <v>3.9009914999999999</v>
      </c>
      <c r="AT101">
        <f t="shared" si="123"/>
        <v>17.77394125</v>
      </c>
      <c r="AU101" s="20">
        <f t="shared" si="108"/>
        <v>510</v>
      </c>
      <c r="AV101">
        <f>O101</f>
        <v>495363.99999999988</v>
      </c>
      <c r="AW101" s="19">
        <f>VLOOKUP(AU101,'Hazard Weighting Functions'!$B$5:$G$1205,3,FALSE)</f>
        <v>6.3E-2</v>
      </c>
      <c r="AX101">
        <f t="shared" si="124"/>
        <v>31207.931999999993</v>
      </c>
      <c r="AY101" s="19">
        <f t="shared" si="125"/>
        <v>142191.52999999997</v>
      </c>
      <c r="AZ101" s="20">
        <f t="shared" si="102"/>
        <v>444</v>
      </c>
      <c r="BA101" s="20">
        <f t="shared" si="103"/>
        <v>265489.81976052391</v>
      </c>
      <c r="BB101" s="19">
        <f>VLOOKUP(AZ101,'Hazard Weighting Functions'!$B$5:$G$1205,3,FALSE)</f>
        <v>0.97592712100000001</v>
      </c>
      <c r="BC101">
        <f t="shared" si="126"/>
        <v>259098.71545369702</v>
      </c>
      <c r="BD101" s="19">
        <f t="shared" si="127"/>
        <v>520904.47290953575</v>
      </c>
      <c r="BF101" s="20">
        <f t="shared" ref="BF101:BG101" si="142">H191</f>
        <v>710</v>
      </c>
      <c r="BG101" s="20">
        <f t="shared" si="142"/>
        <v>137.98699999999999</v>
      </c>
      <c r="BH101" s="19">
        <f>VLOOKUP(BF101,'Hazard Weighting Functions'!$B$5:$G$1205,4,FALSE)</f>
        <v>0.95499999999999996</v>
      </c>
      <c r="BI101" s="19">
        <f t="shared" si="129"/>
        <v>131.77758499999999</v>
      </c>
      <c r="BJ101" s="19">
        <f t="shared" si="130"/>
        <v>653.55649999999991</v>
      </c>
      <c r="BK101" s="1">
        <f t="shared" si="105"/>
        <v>510</v>
      </c>
      <c r="BL101" s="20">
        <f t="shared" si="106"/>
        <v>495363.99999999988</v>
      </c>
      <c r="BM101">
        <f>VLOOKUP(BK101,'Hazard Weighting Functions'!$B$5:$G$1205,4,FALSE)</f>
        <v>1</v>
      </c>
      <c r="BN101">
        <f t="shared" si="131"/>
        <v>495363.99999999988</v>
      </c>
      <c r="BO101" s="19">
        <f t="shared" si="78"/>
        <v>2521843.9999999995</v>
      </c>
      <c r="BP101" s="20">
        <f t="shared" si="107"/>
        <v>444</v>
      </c>
      <c r="BQ101" s="20">
        <f t="shared" si="107"/>
        <v>265489.81976052391</v>
      </c>
      <c r="BR101" s="19">
        <f>VLOOKUP(BP101,'Hazard Weighting Functions'!$B$5:$G$1205,4,FALSE)</f>
        <v>9.7592712150000001</v>
      </c>
      <c r="BS101" s="19">
        <f t="shared" si="132"/>
        <v>2590987.1558644194</v>
      </c>
      <c r="BT101" s="19">
        <f t="shared" si="133"/>
        <v>5209044.7312376183</v>
      </c>
      <c r="BV101">
        <f>VLOOKUP(BK101,'Hazard Weighting Functions'!$B$5:$G$1205,5,FALSE)</f>
        <v>0.503</v>
      </c>
      <c r="BW101" s="24">
        <f t="shared" si="134"/>
        <v>249168.09199999995</v>
      </c>
      <c r="BX101" s="24">
        <f t="shared" si="135"/>
        <v>1403504.7887999997</v>
      </c>
    </row>
    <row r="102" spans="2:76">
      <c r="B102">
        <v>346</v>
      </c>
      <c r="C102" s="36">
        <v>6.5365962400406943</v>
      </c>
      <c r="E102">
        <v>346</v>
      </c>
      <c r="F102" s="36">
        <v>6.5365962400406943</v>
      </c>
      <c r="H102" s="19">
        <v>346</v>
      </c>
      <c r="I102" s="36">
        <v>6.5365962400406943</v>
      </c>
      <c r="K102">
        <v>1365</v>
      </c>
      <c r="L102" s="36">
        <f>1153.226316*(1628/1602)</f>
        <v>1171.9428479700375</v>
      </c>
      <c r="N102">
        <v>515</v>
      </c>
      <c r="O102" s="36">
        <v>513373.6</v>
      </c>
      <c r="Q102" s="19">
        <v>446</v>
      </c>
      <c r="R102" s="36">
        <v>271604.04587951122</v>
      </c>
      <c r="V102">
        <f t="shared" si="110"/>
        <v>346</v>
      </c>
      <c r="W102">
        <f t="shared" si="111"/>
        <v>6.5365962400406943</v>
      </c>
      <c r="Y102">
        <f t="shared" si="112"/>
        <v>346</v>
      </c>
      <c r="Z102">
        <f t="shared" si="113"/>
        <v>6.5365962400406943</v>
      </c>
      <c r="AA102">
        <f>VLOOKUP(Y102,'Hazard Weighting Functions'!$B$5:$G$1205,2,FALSE)</f>
        <v>2.31E-4</v>
      </c>
      <c r="AB102">
        <f t="shared" si="114"/>
        <v>1.5099537314494005E-3</v>
      </c>
      <c r="AC102">
        <f t="shared" si="115"/>
        <v>2.9785506516853914E-3</v>
      </c>
      <c r="AD102">
        <f t="shared" si="116"/>
        <v>13.367279589975535</v>
      </c>
      <c r="AE102">
        <f>VLOOKUP(Y102,'Hazard Weighting Functions'!$B$5:$G$1205,3,FALSE)</f>
        <v>0.01</v>
      </c>
      <c r="AF102">
        <f t="shared" si="117"/>
        <v>6.5365962400406943E-2</v>
      </c>
      <c r="AG102">
        <f t="shared" si="118"/>
        <v>0.13367279589975534</v>
      </c>
      <c r="AH102">
        <f>VLOOKUP(Y102,'Hazard Weighting Functions'!$B$5:$G$1205,5,FALSE)</f>
        <v>0</v>
      </c>
      <c r="AI102">
        <f t="shared" si="119"/>
        <v>0</v>
      </c>
      <c r="AJ102">
        <f t="shared" si="120"/>
        <v>0</v>
      </c>
      <c r="AP102" s="20">
        <f>'IEC_EN62471- Halogen non-GLS'!E152</f>
        <v>515</v>
      </c>
      <c r="AQ102" s="20">
        <f t="shared" si="121"/>
        <v>64.171700000000001</v>
      </c>
      <c r="AR102">
        <f>VLOOKUP(AP102,'Hazard Weighting Functions'!$B$5:$G$1205,3,FALSE)</f>
        <v>0.05</v>
      </c>
      <c r="AS102">
        <f t="shared" si="122"/>
        <v>3.2085850000000002</v>
      </c>
      <c r="AT102">
        <f t="shared" si="123"/>
        <v>14.666282500000001</v>
      </c>
      <c r="AU102" s="20">
        <f t="shared" si="108"/>
        <v>515</v>
      </c>
      <c r="AV102">
        <f>O102</f>
        <v>513373.6</v>
      </c>
      <c r="AW102" s="19">
        <f>VLOOKUP(AU102,'Hazard Weighting Functions'!$B$5:$G$1205,3,FALSE)</f>
        <v>0.05</v>
      </c>
      <c r="AX102">
        <f t="shared" si="124"/>
        <v>25668.68</v>
      </c>
      <c r="AY102" s="19">
        <f t="shared" si="125"/>
        <v>117330.26</v>
      </c>
      <c r="AZ102" s="20">
        <f t="shared" si="102"/>
        <v>446</v>
      </c>
      <c r="BA102" s="20">
        <f t="shared" si="103"/>
        <v>271604.04587951122</v>
      </c>
      <c r="BB102" s="19">
        <f>VLOOKUP(AZ102,'Hazard Weighting Functions'!$B$5:$G$1205,3,FALSE)</f>
        <v>0.96392436500000001</v>
      </c>
      <c r="BC102">
        <f t="shared" si="126"/>
        <v>261805.75745583873</v>
      </c>
      <c r="BD102" s="19">
        <f t="shared" si="127"/>
        <v>526178.16025003092</v>
      </c>
      <c r="BF102" s="20">
        <f t="shared" ref="BF102:BG102" si="143">H192</f>
        <v>715</v>
      </c>
      <c r="BG102" s="20">
        <f t="shared" si="143"/>
        <v>138.95500000000001</v>
      </c>
      <c r="BH102" s="19">
        <f>VLOOKUP(BF102,'Hazard Weighting Functions'!$B$5:$G$1205,4,FALSE)</f>
        <v>0.93300000000000005</v>
      </c>
      <c r="BI102" s="19">
        <f t="shared" si="129"/>
        <v>129.64501500000003</v>
      </c>
      <c r="BJ102" s="19">
        <f t="shared" si="130"/>
        <v>642.90669750000006</v>
      </c>
      <c r="BK102" s="1">
        <f t="shared" si="105"/>
        <v>515</v>
      </c>
      <c r="BL102" s="20">
        <f t="shared" si="106"/>
        <v>513373.6</v>
      </c>
      <c r="BM102">
        <f>VLOOKUP(BK102,'Hazard Weighting Functions'!$B$5:$G$1205,4,FALSE)</f>
        <v>1</v>
      </c>
      <c r="BN102">
        <f t="shared" si="131"/>
        <v>513373.6</v>
      </c>
      <c r="BO102" s="19">
        <f t="shared" si="78"/>
        <v>2612398</v>
      </c>
      <c r="BP102" s="20">
        <f t="shared" si="107"/>
        <v>446</v>
      </c>
      <c r="BQ102" s="20">
        <f t="shared" si="107"/>
        <v>271604.04587951122</v>
      </c>
      <c r="BR102" s="19">
        <f>VLOOKUP(BP102,'Hazard Weighting Functions'!$B$5:$G$1205,4,FALSE)</f>
        <v>9.6392436529999994</v>
      </c>
      <c r="BS102" s="19">
        <f t="shared" si="132"/>
        <v>2618057.5753731993</v>
      </c>
      <c r="BT102" s="19">
        <f t="shared" si="133"/>
        <v>5261781.6044260617</v>
      </c>
      <c r="BV102">
        <f>VLOOKUP(BK102,'Hazard Weighting Functions'!$B$5:$G$1205,5,FALSE)</f>
        <v>0.60819999999999996</v>
      </c>
      <c r="BW102" s="24">
        <f t="shared" si="134"/>
        <v>312233.82351999998</v>
      </c>
      <c r="BX102" s="24">
        <f t="shared" si="135"/>
        <v>1724148.9987999997</v>
      </c>
    </row>
    <row r="103" spans="2:76">
      <c r="B103">
        <v>348</v>
      </c>
      <c r="C103" s="36">
        <v>6.8306833499348407</v>
      </c>
      <c r="E103">
        <v>348</v>
      </c>
      <c r="F103" s="36">
        <v>6.8306833499348407</v>
      </c>
      <c r="H103" s="19">
        <v>348</v>
      </c>
      <c r="I103" s="36">
        <v>6.8306833499348407</v>
      </c>
      <c r="K103">
        <v>1370</v>
      </c>
      <c r="L103" s="36">
        <f>1145.109504*(1628/1602)</f>
        <v>1163.6943024419477</v>
      </c>
      <c r="N103">
        <v>520</v>
      </c>
      <c r="O103" s="36">
        <v>531585.6</v>
      </c>
      <c r="Q103" s="19">
        <v>448</v>
      </c>
      <c r="R103" s="36">
        <v>277735.06380906637</v>
      </c>
      <c r="V103">
        <f t="shared" si="110"/>
        <v>348</v>
      </c>
      <c r="W103">
        <f t="shared" si="111"/>
        <v>6.8306833499348407</v>
      </c>
      <c r="Y103">
        <f t="shared" si="112"/>
        <v>348</v>
      </c>
      <c r="Z103">
        <f t="shared" si="113"/>
        <v>6.8306833499348407</v>
      </c>
      <c r="AA103">
        <f>VLOOKUP(Y103,'Hazard Weighting Functions'!$B$5:$G$1205,2,FALSE)</f>
        <v>2.1499999999999999E-4</v>
      </c>
      <c r="AB103">
        <f t="shared" si="114"/>
        <v>1.4685969202359907E-3</v>
      </c>
      <c r="AC103">
        <f t="shared" si="115"/>
        <v>2.8952269202359906E-3</v>
      </c>
      <c r="AD103">
        <f t="shared" si="116"/>
        <v>13.963833349934841</v>
      </c>
      <c r="AE103">
        <f>VLOOKUP(Y103,'Hazard Weighting Functions'!$B$5:$G$1205,3,FALSE)</f>
        <v>0.01</v>
      </c>
      <c r="AF103">
        <f t="shared" si="117"/>
        <v>6.8306833499348407E-2</v>
      </c>
      <c r="AG103">
        <f t="shared" si="118"/>
        <v>0.1396383334993484</v>
      </c>
      <c r="AH103">
        <f>VLOOKUP(Y103,'Hazard Weighting Functions'!$B$5:$G$1205,5,FALSE)</f>
        <v>0</v>
      </c>
      <c r="AI103">
        <f t="shared" si="119"/>
        <v>0</v>
      </c>
      <c r="AJ103">
        <f t="shared" si="120"/>
        <v>0</v>
      </c>
      <c r="AP103" s="20">
        <f>'IEC_EN62471- Halogen non-GLS'!E153</f>
        <v>520</v>
      </c>
      <c r="AQ103" s="20">
        <f t="shared" si="121"/>
        <v>66.4482</v>
      </c>
      <c r="AR103">
        <f>VLOOKUP(AP103,'Hazard Weighting Functions'!$B$5:$G$1205,3,FALSE)</f>
        <v>0.04</v>
      </c>
      <c r="AS103">
        <f t="shared" si="122"/>
        <v>2.6579280000000001</v>
      </c>
      <c r="AT103">
        <f t="shared" si="123"/>
        <v>12.149724000000003</v>
      </c>
      <c r="AU103" s="20">
        <f t="shared" si="108"/>
        <v>520</v>
      </c>
      <c r="AV103">
        <f>O103</f>
        <v>531585.6</v>
      </c>
      <c r="AW103" s="19">
        <f>VLOOKUP(AU103,'Hazard Weighting Functions'!$B$5:$G$1205,3,FALSE)</f>
        <v>0.04</v>
      </c>
      <c r="AX103">
        <f t="shared" si="124"/>
        <v>21263.423999999999</v>
      </c>
      <c r="AY103" s="19">
        <f t="shared" si="125"/>
        <v>97197.792000000016</v>
      </c>
      <c r="AZ103" s="20">
        <f t="shared" si="102"/>
        <v>448</v>
      </c>
      <c r="BA103" s="20">
        <f t="shared" si="103"/>
        <v>277735.06380906637</v>
      </c>
      <c r="BB103" s="19">
        <f>VLOOKUP(AZ103,'Hazard Weighting Functions'!$B$5:$G$1205,3,FALSE)</f>
        <v>0.95188702199999997</v>
      </c>
      <c r="BC103">
        <f t="shared" si="126"/>
        <v>264372.40279419214</v>
      </c>
      <c r="BD103" s="19">
        <f t="shared" si="127"/>
        <v>531283.52279419219</v>
      </c>
      <c r="BF103" s="20">
        <f t="shared" ref="BF103:BG103" si="144">H193</f>
        <v>720</v>
      </c>
      <c r="BG103" s="20">
        <f t="shared" si="144"/>
        <v>139.822</v>
      </c>
      <c r="BH103" s="19">
        <f>VLOOKUP(BF103,'Hazard Weighting Functions'!$B$5:$G$1205,4,FALSE)</f>
        <v>0.91200000000000003</v>
      </c>
      <c r="BI103" s="19">
        <f t="shared" si="129"/>
        <v>127.51766400000001</v>
      </c>
      <c r="BJ103" s="19">
        <f t="shared" si="130"/>
        <v>632.34819750000008</v>
      </c>
      <c r="BK103" s="1">
        <f t="shared" si="105"/>
        <v>520</v>
      </c>
      <c r="BL103" s="20">
        <f t="shared" si="106"/>
        <v>531585.6</v>
      </c>
      <c r="BM103">
        <f>VLOOKUP(BK103,'Hazard Weighting Functions'!$B$5:$G$1205,4,FALSE)</f>
        <v>1</v>
      </c>
      <c r="BN103">
        <f t="shared" si="131"/>
        <v>531585.6</v>
      </c>
      <c r="BO103" s="19">
        <f t="shared" si="78"/>
        <v>2705190</v>
      </c>
      <c r="BP103" s="20">
        <f t="shared" si="107"/>
        <v>448</v>
      </c>
      <c r="BQ103" s="20">
        <f t="shared" si="107"/>
        <v>277735.06380906637</v>
      </c>
      <c r="BR103" s="19">
        <f>VLOOKUP(BP103,'Hazard Weighting Functions'!$B$5:$G$1205,4,FALSE)</f>
        <v>9.5188702240000005</v>
      </c>
      <c r="BS103" s="19">
        <f t="shared" si="132"/>
        <v>2643724.029052862</v>
      </c>
      <c r="BT103" s="19">
        <f t="shared" si="133"/>
        <v>5312835.2290528622</v>
      </c>
      <c r="BV103">
        <f>VLOOKUP(BK103,'Hazard Weighting Functions'!$B$5:$G$1205,5,FALSE)</f>
        <v>0.71</v>
      </c>
      <c r="BW103" s="24">
        <f t="shared" si="134"/>
        <v>377425.77599999995</v>
      </c>
      <c r="BX103" s="24">
        <f t="shared" si="135"/>
        <v>2035186.9032000001</v>
      </c>
    </row>
    <row r="104" spans="2:76">
      <c r="B104">
        <v>350</v>
      </c>
      <c r="C104" s="36">
        <v>7.1331499999999997</v>
      </c>
      <c r="E104">
        <v>350</v>
      </c>
      <c r="F104" s="36">
        <v>7.1331499999999997</v>
      </c>
      <c r="H104" s="19">
        <v>350</v>
      </c>
      <c r="I104" s="36">
        <v>7.1331499999999997</v>
      </c>
      <c r="K104">
        <v>1375</v>
      </c>
      <c r="L104" s="36">
        <f>1137.022356*(1628/1602)</f>
        <v>1155.4759023520598</v>
      </c>
      <c r="N104">
        <v>525</v>
      </c>
      <c r="O104" s="36">
        <v>550490.4</v>
      </c>
      <c r="Q104" s="19">
        <v>450</v>
      </c>
      <c r="R104" s="36">
        <v>283948</v>
      </c>
      <c r="V104">
        <f t="shared" si="110"/>
        <v>350</v>
      </c>
      <c r="W104">
        <f t="shared" si="111"/>
        <v>7.1331499999999997</v>
      </c>
      <c r="Y104">
        <f t="shared" si="112"/>
        <v>350</v>
      </c>
      <c r="Z104">
        <f t="shared" si="113"/>
        <v>7.1331499999999997</v>
      </c>
      <c r="AA104">
        <f>VLOOKUP(Y104,'Hazard Weighting Functions'!$B$5:$G$1205,2,FALSE)</f>
        <v>2.0000000000000001E-4</v>
      </c>
      <c r="AB104">
        <f t="shared" si="114"/>
        <v>1.4266299999999999E-3</v>
      </c>
      <c r="AC104">
        <f t="shared" si="115"/>
        <v>2.7905644138801278E-3</v>
      </c>
      <c r="AD104">
        <f t="shared" si="116"/>
        <v>14.586343518470645</v>
      </c>
      <c r="AE104">
        <f>VLOOKUP(Y104,'Hazard Weighting Functions'!$B$5:$G$1205,3,FALSE)</f>
        <v>0.01</v>
      </c>
      <c r="AF104">
        <f t="shared" si="117"/>
        <v>7.1331499999999992E-2</v>
      </c>
      <c r="AG104">
        <f t="shared" si="118"/>
        <v>0.14586343518470646</v>
      </c>
      <c r="AH104">
        <f>VLOOKUP(Y104,'Hazard Weighting Functions'!$B$5:$G$1205,5,FALSE)</f>
        <v>0</v>
      </c>
      <c r="AI104">
        <f t="shared" si="119"/>
        <v>0</v>
      </c>
      <c r="AJ104">
        <f t="shared" si="120"/>
        <v>0</v>
      </c>
      <c r="AP104" s="20">
        <f>'IEC_EN62471- Halogen non-GLS'!E154</f>
        <v>525</v>
      </c>
      <c r="AQ104" s="20">
        <f t="shared" si="121"/>
        <v>68.811300000000003</v>
      </c>
      <c r="AR104">
        <f>VLOOKUP(AP104,'Hazard Weighting Functions'!$B$5:$G$1205,3,FALSE)</f>
        <v>3.2000000000000001E-2</v>
      </c>
      <c r="AS104">
        <f t="shared" si="122"/>
        <v>2.2019616000000002</v>
      </c>
      <c r="AT104">
        <f t="shared" si="123"/>
        <v>9.9552352500000012</v>
      </c>
      <c r="AU104" s="20">
        <f t="shared" si="108"/>
        <v>525</v>
      </c>
      <c r="AV104">
        <f>O104</f>
        <v>550490.4</v>
      </c>
      <c r="AW104" s="19">
        <f>VLOOKUP(AU104,'Hazard Weighting Functions'!$B$5:$G$1205,3,FALSE)</f>
        <v>3.2000000000000001E-2</v>
      </c>
      <c r="AX104">
        <f t="shared" si="124"/>
        <v>17615.692800000001</v>
      </c>
      <c r="AY104" s="19">
        <f t="shared" si="125"/>
        <v>79641.881999999998</v>
      </c>
      <c r="AZ104" s="20">
        <f t="shared" si="102"/>
        <v>450</v>
      </c>
      <c r="BA104" s="20">
        <f t="shared" si="103"/>
        <v>283948</v>
      </c>
      <c r="BB104" s="19">
        <f>VLOOKUP(AZ104,'Hazard Weighting Functions'!$B$5:$G$1205,3,FALSE)</f>
        <v>0.94</v>
      </c>
      <c r="BC104">
        <f t="shared" si="126"/>
        <v>266911.12</v>
      </c>
      <c r="BD104" s="19">
        <f t="shared" si="127"/>
        <v>535087.68789555528</v>
      </c>
      <c r="BF104" s="20">
        <f t="shared" ref="BF104:BG104" si="145">H194</f>
        <v>725</v>
      </c>
      <c r="BG104" s="20">
        <f t="shared" si="145"/>
        <v>140.76500000000001</v>
      </c>
      <c r="BH104" s="19">
        <f>VLOOKUP(BF104,'Hazard Weighting Functions'!$B$5:$G$1205,4,FALSE)</f>
        <v>0.89100000000000001</v>
      </c>
      <c r="BI104" s="19">
        <f t="shared" si="129"/>
        <v>125.42161500000002</v>
      </c>
      <c r="BJ104" s="19">
        <f t="shared" si="130"/>
        <v>622.0883675</v>
      </c>
      <c r="BK104" s="1">
        <f t="shared" si="105"/>
        <v>525</v>
      </c>
      <c r="BL104" s="20">
        <f t="shared" si="106"/>
        <v>550490.4</v>
      </c>
      <c r="BM104">
        <f>VLOOKUP(BK104,'Hazard Weighting Functions'!$B$5:$G$1205,4,FALSE)</f>
        <v>1</v>
      </c>
      <c r="BN104">
        <f t="shared" si="131"/>
        <v>550490.4</v>
      </c>
      <c r="BO104" s="19">
        <f t="shared" si="78"/>
        <v>2800331.9999999995</v>
      </c>
      <c r="BP104" s="20">
        <f t="shared" si="107"/>
        <v>450</v>
      </c>
      <c r="BQ104" s="20">
        <f t="shared" si="107"/>
        <v>283948</v>
      </c>
      <c r="BR104" s="19">
        <f>VLOOKUP(BP104,'Hazard Weighting Functions'!$B$5:$G$1205,4,FALSE)</f>
        <v>9.4</v>
      </c>
      <c r="BS104" s="19">
        <f t="shared" si="132"/>
        <v>2669111.2000000002</v>
      </c>
      <c r="BT104" s="19">
        <f t="shared" si="133"/>
        <v>5350876.8783749528</v>
      </c>
      <c r="BV104">
        <f>VLOOKUP(BK104,'Hazard Weighting Functions'!$B$5:$G$1205,5,FALSE)</f>
        <v>0.79320000000000002</v>
      </c>
      <c r="BW104" s="24">
        <f t="shared" si="134"/>
        <v>436648.98528000002</v>
      </c>
      <c r="BX104" s="24">
        <f t="shared" si="135"/>
        <v>2319201.8351999996</v>
      </c>
    </row>
    <row r="105" spans="2:76">
      <c r="B105">
        <v>352</v>
      </c>
      <c r="C105" s="36">
        <v>7.4531935184706448</v>
      </c>
      <c r="E105">
        <v>352</v>
      </c>
      <c r="F105" s="36">
        <v>7.4531935184706448</v>
      </c>
      <c r="H105" s="19">
        <v>352</v>
      </c>
      <c r="I105" s="36">
        <v>7.4531935184706448</v>
      </c>
      <c r="K105">
        <v>1380</v>
      </c>
      <c r="L105" s="36">
        <f>1128.969816*(1628/1602)</f>
        <v>1147.2926719400748</v>
      </c>
      <c r="N105">
        <v>530</v>
      </c>
      <c r="O105" s="36">
        <v>569642.39999999991</v>
      </c>
      <c r="Q105" s="19">
        <v>452</v>
      </c>
      <c r="R105" s="36">
        <v>290300.0511722418</v>
      </c>
      <c r="V105">
        <f t="shared" si="110"/>
        <v>352</v>
      </c>
      <c r="W105">
        <f t="shared" si="111"/>
        <v>7.4531935184706448</v>
      </c>
      <c r="Y105">
        <f t="shared" si="112"/>
        <v>352</v>
      </c>
      <c r="Z105">
        <f t="shared" si="113"/>
        <v>7.4531935184706448</v>
      </c>
      <c r="AA105">
        <f>VLOOKUP(Y105,'Hazard Weighting Functions'!$B$5:$G$1205,2,FALSE)</f>
        <v>1.83E-4</v>
      </c>
      <c r="AB105">
        <f t="shared" si="114"/>
        <v>1.3639344138801281E-3</v>
      </c>
      <c r="AC105">
        <f t="shared" si="115"/>
        <v>2.6652732940916201E-3</v>
      </c>
      <c r="AD105">
        <f t="shared" si="116"/>
        <v>15.245641902970599</v>
      </c>
      <c r="AE105">
        <f>VLOOKUP(Y105,'Hazard Weighting Functions'!$B$5:$G$1205,3,FALSE)</f>
        <v>0.01</v>
      </c>
      <c r="AF105">
        <f t="shared" si="117"/>
        <v>7.4531935184706452E-2</v>
      </c>
      <c r="AG105">
        <f t="shared" si="118"/>
        <v>0.152456419029706</v>
      </c>
      <c r="AH105">
        <f>VLOOKUP(Y105,'Hazard Weighting Functions'!$B$5:$G$1205,5,FALSE)</f>
        <v>0</v>
      </c>
      <c r="AI105">
        <f t="shared" si="119"/>
        <v>0</v>
      </c>
      <c r="AJ105">
        <f t="shared" si="120"/>
        <v>0</v>
      </c>
      <c r="AP105" s="20">
        <f>'IEC_EN62471- Halogen non-GLS'!E155</f>
        <v>530</v>
      </c>
      <c r="AQ105" s="20">
        <f t="shared" si="121"/>
        <v>71.205299999999994</v>
      </c>
      <c r="AR105">
        <f>VLOOKUP(AP105,'Hazard Weighting Functions'!$B$5:$G$1205,3,FALSE)</f>
        <v>2.5000000000000001E-2</v>
      </c>
      <c r="AS105">
        <f t="shared" si="122"/>
        <v>1.7801324999999999</v>
      </c>
      <c r="AT105">
        <f t="shared" si="123"/>
        <v>8.1303112500000001</v>
      </c>
      <c r="AU105" s="20">
        <f t="shared" si="108"/>
        <v>530</v>
      </c>
      <c r="AV105">
        <f>O105</f>
        <v>569642.39999999991</v>
      </c>
      <c r="AW105" s="19">
        <f>VLOOKUP(AU105,'Hazard Weighting Functions'!$B$5:$G$1205,3,FALSE)</f>
        <v>2.5000000000000001E-2</v>
      </c>
      <c r="AX105">
        <f t="shared" si="124"/>
        <v>14241.059999999998</v>
      </c>
      <c r="AY105" s="19">
        <f t="shared" si="125"/>
        <v>65042.49</v>
      </c>
      <c r="AZ105" s="20">
        <f t="shared" si="102"/>
        <v>452</v>
      </c>
      <c r="BA105" s="20">
        <f t="shared" si="103"/>
        <v>290300.0511722418</v>
      </c>
      <c r="BB105" s="19">
        <f>VLOOKUP(AZ105,'Hazard Weighting Functions'!$B$5:$G$1205,3,FALSE)</f>
        <v>0.92379097700000001</v>
      </c>
      <c r="BC105">
        <f t="shared" si="126"/>
        <v>268176.56789555523</v>
      </c>
      <c r="BD105" s="19">
        <f t="shared" si="127"/>
        <v>537634.49697901192</v>
      </c>
      <c r="BF105" s="20">
        <f t="shared" ref="BF105:BG105" si="146">H195</f>
        <v>730</v>
      </c>
      <c r="BG105" s="20">
        <f t="shared" si="146"/>
        <v>141.69200000000001</v>
      </c>
      <c r="BH105" s="19">
        <f>VLOOKUP(BF105,'Hazard Weighting Functions'!$B$5:$G$1205,4,FALSE)</f>
        <v>0.871</v>
      </c>
      <c r="BI105" s="19">
        <f t="shared" si="129"/>
        <v>123.41373200000001</v>
      </c>
      <c r="BJ105" s="19">
        <f t="shared" si="130"/>
        <v>611.86264249999999</v>
      </c>
      <c r="BK105" s="1">
        <f t="shared" si="105"/>
        <v>530</v>
      </c>
      <c r="BL105" s="20">
        <f t="shared" si="106"/>
        <v>569642.39999999991</v>
      </c>
      <c r="BM105">
        <f>VLOOKUP(BK105,'Hazard Weighting Functions'!$B$5:$G$1205,4,FALSE)</f>
        <v>1</v>
      </c>
      <c r="BN105">
        <f t="shared" si="131"/>
        <v>569642.39999999991</v>
      </c>
      <c r="BO105" s="19">
        <f t="shared" si="78"/>
        <v>2896097.9999999991</v>
      </c>
      <c r="BP105" s="20">
        <f t="shared" si="107"/>
        <v>452</v>
      </c>
      <c r="BQ105" s="20">
        <f t="shared" si="107"/>
        <v>290300.0511722418</v>
      </c>
      <c r="BR105" s="19">
        <f>VLOOKUP(BP105,'Hazard Weighting Functions'!$B$5:$G$1205,4,FALSE)</f>
        <v>9.2379097679999997</v>
      </c>
      <c r="BS105" s="19">
        <f t="shared" si="132"/>
        <v>2681765.6783749522</v>
      </c>
      <c r="BT105" s="19">
        <f t="shared" si="133"/>
        <v>5376344.9698031303</v>
      </c>
      <c r="BV105">
        <f>VLOOKUP(BK105,'Hazard Weighting Functions'!$B$5:$G$1205,5,FALSE)</f>
        <v>0.86199999999999999</v>
      </c>
      <c r="BW105" s="24">
        <f t="shared" si="134"/>
        <v>491031.74879999988</v>
      </c>
      <c r="BX105" s="24">
        <f t="shared" si="135"/>
        <v>2574231.2532000002</v>
      </c>
    </row>
    <row r="106" spans="2:76">
      <c r="B106">
        <v>354</v>
      </c>
      <c r="C106" s="36">
        <v>7.7924483844999539</v>
      </c>
      <c r="E106">
        <v>354</v>
      </c>
      <c r="F106" s="36">
        <v>7.7924483844999539</v>
      </c>
      <c r="H106" s="19">
        <v>354</v>
      </c>
      <c r="I106" s="36">
        <v>7.7924483844999539</v>
      </c>
      <c r="K106">
        <v>1385</v>
      </c>
      <c r="L106" s="36">
        <f>1120.948176*(1628/1602)</f>
        <v>1139.1408430262172</v>
      </c>
      <c r="N106">
        <v>535</v>
      </c>
      <c r="O106" s="36">
        <v>588796.79999999993</v>
      </c>
      <c r="Q106" s="19">
        <v>454</v>
      </c>
      <c r="R106" s="36">
        <v>296805.12076223304</v>
      </c>
      <c r="V106">
        <f t="shared" si="110"/>
        <v>354</v>
      </c>
      <c r="W106">
        <f t="shared" si="111"/>
        <v>7.7924483844999539</v>
      </c>
      <c r="Y106">
        <f t="shared" si="112"/>
        <v>354</v>
      </c>
      <c r="Z106">
        <f t="shared" si="113"/>
        <v>7.7924483844999539</v>
      </c>
      <c r="AA106">
        <f>VLOOKUP(Y106,'Hazard Weighting Functions'!$B$5:$G$1205,2,FALSE)</f>
        <v>1.6699999999999999E-4</v>
      </c>
      <c r="AB106">
        <f t="shared" si="114"/>
        <v>1.3013388802114922E-3</v>
      </c>
      <c r="AC106">
        <f t="shared" si="115"/>
        <v>2.5483626835982173E-3</v>
      </c>
      <c r="AD106">
        <f t="shared" si="116"/>
        <v>15.942930759576589</v>
      </c>
      <c r="AE106">
        <f>VLOOKUP(Y106,'Hazard Weighting Functions'!$B$5:$G$1205,3,FALSE)</f>
        <v>0.01</v>
      </c>
      <c r="AF106">
        <f t="shared" si="117"/>
        <v>7.7924483844999545E-2</v>
      </c>
      <c r="AG106">
        <f t="shared" si="118"/>
        <v>0.1594293075957659</v>
      </c>
      <c r="AH106">
        <f>VLOOKUP(Y106,'Hazard Weighting Functions'!$B$5:$G$1205,5,FALSE)</f>
        <v>0</v>
      </c>
      <c r="AI106">
        <f t="shared" si="119"/>
        <v>0</v>
      </c>
      <c r="AJ106">
        <f t="shared" si="120"/>
        <v>0</v>
      </c>
      <c r="AP106" s="20">
        <f>'IEC_EN62471- Halogen non-GLS'!E156</f>
        <v>535</v>
      </c>
      <c r="AQ106" s="20">
        <f t="shared" si="121"/>
        <v>73.599599999999995</v>
      </c>
      <c r="AR106">
        <f>VLOOKUP(AP106,'Hazard Weighting Functions'!$B$5:$G$1205,3,FALSE)</f>
        <v>0.02</v>
      </c>
      <c r="AS106">
        <f t="shared" si="122"/>
        <v>1.471992</v>
      </c>
      <c r="AT106">
        <f t="shared" si="123"/>
        <v>6.7164599999999997</v>
      </c>
      <c r="AU106" s="20">
        <f t="shared" si="108"/>
        <v>535</v>
      </c>
      <c r="AV106">
        <f>O106</f>
        <v>588796.79999999993</v>
      </c>
      <c r="AW106" s="19">
        <f>VLOOKUP(AU106,'Hazard Weighting Functions'!$B$5:$G$1205,3,FALSE)</f>
        <v>0.02</v>
      </c>
      <c r="AX106">
        <f t="shared" si="124"/>
        <v>11775.936</v>
      </c>
      <c r="AY106" s="19">
        <f t="shared" si="125"/>
        <v>53731.679999999993</v>
      </c>
      <c r="AZ106" s="20">
        <f t="shared" si="102"/>
        <v>454</v>
      </c>
      <c r="BA106" s="20">
        <f t="shared" si="103"/>
        <v>296805.12076223304</v>
      </c>
      <c r="BB106" s="19">
        <f>VLOOKUP(AZ106,'Hazard Weighting Functions'!$B$5:$G$1205,3,FALSE)</f>
        <v>0.90786145600000001</v>
      </c>
      <c r="BC106">
        <f t="shared" si="126"/>
        <v>269457.92908345669</v>
      </c>
      <c r="BD106" s="19">
        <f t="shared" si="127"/>
        <v>536216.9022249619</v>
      </c>
      <c r="BF106" s="20">
        <f t="shared" ref="BF106:BG106" si="147">H196</f>
        <v>735</v>
      </c>
      <c r="BG106" s="20">
        <f t="shared" si="147"/>
        <v>142.57499999999999</v>
      </c>
      <c r="BH106" s="19">
        <f>VLOOKUP(BF106,'Hazard Weighting Functions'!$B$5:$G$1205,4,FALSE)</f>
        <v>0.85099999999999998</v>
      </c>
      <c r="BI106" s="19">
        <f t="shared" si="129"/>
        <v>121.33132499999999</v>
      </c>
      <c r="BJ106" s="19">
        <f t="shared" si="130"/>
        <v>603.02927249999993</v>
      </c>
      <c r="BK106" s="1">
        <f t="shared" si="105"/>
        <v>535</v>
      </c>
      <c r="BL106" s="20">
        <f t="shared" si="106"/>
        <v>588796.79999999993</v>
      </c>
      <c r="BM106">
        <f>VLOOKUP(BK106,'Hazard Weighting Functions'!$B$5:$G$1205,4,FALSE)</f>
        <v>1</v>
      </c>
      <c r="BN106">
        <f t="shared" si="131"/>
        <v>588796.79999999993</v>
      </c>
      <c r="BO106" s="19">
        <f t="shared" si="78"/>
        <v>2990231.9999999995</v>
      </c>
      <c r="BP106" s="20">
        <f t="shared" si="107"/>
        <v>454</v>
      </c>
      <c r="BQ106" s="20">
        <f t="shared" si="107"/>
        <v>296805.12076223304</v>
      </c>
      <c r="BR106" s="19">
        <f>VLOOKUP(BP106,'Hazard Weighting Functions'!$B$5:$G$1205,4,FALSE)</f>
        <v>9.0786145620000003</v>
      </c>
      <c r="BS106" s="19">
        <f t="shared" si="132"/>
        <v>2694579.2914281776</v>
      </c>
      <c r="BT106" s="19">
        <f t="shared" si="133"/>
        <v>5362169.0243605496</v>
      </c>
      <c r="BV106">
        <f>VLOOKUP(BK106,'Hazard Weighting Functions'!$B$5:$G$1205,5,FALSE)</f>
        <v>0.91485000000000005</v>
      </c>
      <c r="BW106" s="24">
        <f t="shared" si="134"/>
        <v>538660.75248000002</v>
      </c>
      <c r="BX106" s="24">
        <f t="shared" si="135"/>
        <v>2795052.8411999997</v>
      </c>
    </row>
    <row r="107" spans="2:76">
      <c r="B107">
        <v>356</v>
      </c>
      <c r="C107" s="36">
        <v>8.1504823750766349</v>
      </c>
      <c r="E107">
        <v>356</v>
      </c>
      <c r="F107" s="36">
        <v>8.1504823750766349</v>
      </c>
      <c r="H107" s="19">
        <v>356</v>
      </c>
      <c r="I107" s="36">
        <v>8.1504823750766349</v>
      </c>
      <c r="K107">
        <v>1390</v>
      </c>
      <c r="L107" s="36">
        <f>1112.961144*(1628/1602)</f>
        <v>1131.024183790262</v>
      </c>
      <c r="N107">
        <v>540</v>
      </c>
      <c r="O107" s="36">
        <v>607296</v>
      </c>
      <c r="Q107" s="19">
        <v>456</v>
      </c>
      <c r="R107" s="36">
        <v>303463.89815598761</v>
      </c>
      <c r="V107">
        <f t="shared" si="110"/>
        <v>356</v>
      </c>
      <c r="W107">
        <f t="shared" si="111"/>
        <v>8.1504823750766349</v>
      </c>
      <c r="Y107">
        <f t="shared" si="112"/>
        <v>356</v>
      </c>
      <c r="Z107">
        <f t="shared" si="113"/>
        <v>8.1504823750766349</v>
      </c>
      <c r="AA107">
        <f>VLOOKUP(Y107,'Hazard Weighting Functions'!$B$5:$G$1205,2,FALSE)</f>
        <v>1.5300000000000001E-4</v>
      </c>
      <c r="AB107">
        <f t="shared" si="114"/>
        <v>1.2470238033867251E-3</v>
      </c>
      <c r="AC107">
        <f t="shared" si="115"/>
        <v>2.4487407888337102E-3</v>
      </c>
      <c r="AD107">
        <f t="shared" si="116"/>
        <v>16.673297874700644</v>
      </c>
      <c r="AE107">
        <f>VLOOKUP(Y107,'Hazard Weighting Functions'!$B$5:$G$1205,3,FALSE)</f>
        <v>0.01</v>
      </c>
      <c r="AF107">
        <f t="shared" si="117"/>
        <v>8.1504823750766356E-2</v>
      </c>
      <c r="AG107">
        <f t="shared" si="118"/>
        <v>0.16673297874700643</v>
      </c>
      <c r="AH107">
        <f>VLOOKUP(Y107,'Hazard Weighting Functions'!$B$5:$G$1205,5,FALSE)</f>
        <v>0</v>
      </c>
      <c r="AI107">
        <f t="shared" si="119"/>
        <v>0</v>
      </c>
      <c r="AJ107">
        <f t="shared" si="120"/>
        <v>0</v>
      </c>
      <c r="AP107" s="20">
        <f>'IEC_EN62471- Halogen non-GLS'!E157</f>
        <v>540</v>
      </c>
      <c r="AQ107" s="20">
        <f t="shared" si="121"/>
        <v>75.912000000000006</v>
      </c>
      <c r="AR107">
        <f>VLOOKUP(AP107,'Hazard Weighting Functions'!$B$5:$G$1205,3,FALSE)</f>
        <v>1.6E-2</v>
      </c>
      <c r="AS107">
        <f t="shared" si="122"/>
        <v>1.2145920000000001</v>
      </c>
      <c r="AT107">
        <f t="shared" si="123"/>
        <v>5.5764525000000011</v>
      </c>
      <c r="AU107" s="20">
        <f t="shared" si="108"/>
        <v>540</v>
      </c>
      <c r="AV107">
        <f>O107</f>
        <v>607296</v>
      </c>
      <c r="AW107" s="19">
        <f>VLOOKUP(AU107,'Hazard Weighting Functions'!$B$5:$G$1205,3,FALSE)</f>
        <v>1.6E-2</v>
      </c>
      <c r="AX107">
        <f t="shared" si="124"/>
        <v>9716.7360000000008</v>
      </c>
      <c r="AY107" s="19">
        <f t="shared" si="125"/>
        <v>44611.62</v>
      </c>
      <c r="AZ107" s="20">
        <f t="shared" si="102"/>
        <v>456</v>
      </c>
      <c r="BA107" s="20">
        <f t="shared" si="103"/>
        <v>303463.89815598761</v>
      </c>
      <c r="BB107" s="19">
        <f>VLOOKUP(AZ107,'Hazard Weighting Functions'!$B$5:$G$1205,3,FALSE)</f>
        <v>0.87904681500000004</v>
      </c>
      <c r="BC107">
        <f t="shared" si="126"/>
        <v>266758.97314150527</v>
      </c>
      <c r="BD107" s="19">
        <f t="shared" si="127"/>
        <v>526908.90110125742</v>
      </c>
      <c r="BF107" s="20">
        <f t="shared" ref="BF107:BG107" si="148">H197</f>
        <v>740</v>
      </c>
      <c r="BG107" s="20">
        <f t="shared" si="148"/>
        <v>144.08699999999999</v>
      </c>
      <c r="BH107" s="19">
        <f>VLOOKUP(BF107,'Hazard Weighting Functions'!$B$5:$G$1205,4,FALSE)</f>
        <v>0.83199999999999996</v>
      </c>
      <c r="BI107" s="19">
        <f t="shared" si="129"/>
        <v>119.88038399999999</v>
      </c>
      <c r="BJ107" s="19">
        <f t="shared" si="130"/>
        <v>593.23867499999994</v>
      </c>
      <c r="BK107" s="1">
        <f t="shared" si="105"/>
        <v>540</v>
      </c>
      <c r="BL107" s="20">
        <f t="shared" si="106"/>
        <v>607296</v>
      </c>
      <c r="BM107">
        <f>VLOOKUP(BK107,'Hazard Weighting Functions'!$B$5:$G$1205,4,FALSE)</f>
        <v>1</v>
      </c>
      <c r="BN107">
        <f t="shared" si="131"/>
        <v>607296</v>
      </c>
      <c r="BO107" s="19">
        <f t="shared" si="78"/>
        <v>3081300</v>
      </c>
      <c r="BP107" s="20">
        <f t="shared" si="107"/>
        <v>456</v>
      </c>
      <c r="BQ107" s="20">
        <f t="shared" si="107"/>
        <v>303463.89815598761</v>
      </c>
      <c r="BR107" s="19">
        <f>VLOOKUP(BP107,'Hazard Weighting Functions'!$B$5:$G$1205,4,FALSE)</f>
        <v>8.7904681549999992</v>
      </c>
      <c r="BS107" s="19">
        <f t="shared" si="132"/>
        <v>2667589.732932372</v>
      </c>
      <c r="BT107" s="19">
        <f t="shared" si="133"/>
        <v>5269089.0109787835</v>
      </c>
      <c r="BV107">
        <f>VLOOKUP(BK107,'Hazard Weighting Functions'!$B$5:$G$1205,5,FALSE)</f>
        <v>0.95399999999999996</v>
      </c>
      <c r="BW107" s="24">
        <f t="shared" si="134"/>
        <v>579360.38399999996</v>
      </c>
      <c r="BX107" s="24">
        <f t="shared" si="135"/>
        <v>2980668.6780000003</v>
      </c>
    </row>
    <row r="108" spans="2:76">
      <c r="B108">
        <v>358</v>
      </c>
      <c r="C108" s="36">
        <v>8.5228154996240075</v>
      </c>
      <c r="E108">
        <v>358</v>
      </c>
      <c r="F108" s="36">
        <v>8.5228154996240075</v>
      </c>
      <c r="H108" s="19">
        <v>358</v>
      </c>
      <c r="I108" s="36">
        <v>8.5228154996240075</v>
      </c>
      <c r="K108">
        <v>1395</v>
      </c>
      <c r="L108" s="36">
        <f>1105.00872*(1628/1602)</f>
        <v>1122.9426942322098</v>
      </c>
      <c r="N108">
        <v>545</v>
      </c>
      <c r="O108" s="36">
        <v>625224</v>
      </c>
      <c r="Q108" s="19">
        <v>458</v>
      </c>
      <c r="R108" s="36">
        <v>310222.08595975098</v>
      </c>
      <c r="V108">
        <f t="shared" si="110"/>
        <v>358</v>
      </c>
      <c r="W108">
        <f t="shared" si="111"/>
        <v>8.5228154996240075</v>
      </c>
      <c r="Y108">
        <f t="shared" si="112"/>
        <v>358</v>
      </c>
      <c r="Z108">
        <f t="shared" si="113"/>
        <v>8.5228154996240075</v>
      </c>
      <c r="AA108">
        <f>VLOOKUP(Y108,'Hazard Weighting Functions'!$B$5:$G$1205,2,FALSE)</f>
        <v>1.4100000000000001E-4</v>
      </c>
      <c r="AB108">
        <f t="shared" si="114"/>
        <v>1.2017169854469851E-3</v>
      </c>
      <c r="AC108">
        <f t="shared" si="115"/>
        <v>2.3588365854469847E-3</v>
      </c>
      <c r="AD108">
        <f t="shared" si="116"/>
        <v>17.423735499624009</v>
      </c>
      <c r="AE108">
        <f>VLOOKUP(Y108,'Hazard Weighting Functions'!$B$5:$G$1205,3,FALSE)</f>
        <v>0.01</v>
      </c>
      <c r="AF108">
        <f t="shared" si="117"/>
        <v>8.5228154996240077E-2</v>
      </c>
      <c r="AG108">
        <f t="shared" si="118"/>
        <v>0.17423735499624007</v>
      </c>
      <c r="AH108">
        <f>VLOOKUP(Y108,'Hazard Weighting Functions'!$B$5:$G$1205,5,FALSE)</f>
        <v>0</v>
      </c>
      <c r="AI108">
        <f t="shared" si="119"/>
        <v>0</v>
      </c>
      <c r="AJ108">
        <f t="shared" si="120"/>
        <v>0</v>
      </c>
      <c r="AP108" s="20">
        <f>'IEC_EN62471- Halogen non-GLS'!E158</f>
        <v>545</v>
      </c>
      <c r="AQ108" s="20">
        <f t="shared" si="121"/>
        <v>78.15300000000002</v>
      </c>
      <c r="AR108">
        <f>VLOOKUP(AP108,'Hazard Weighting Functions'!$B$5:$G$1205,3,FALSE)</f>
        <v>1.2999999999999999E-2</v>
      </c>
      <c r="AS108">
        <f t="shared" si="122"/>
        <v>1.0159890000000003</v>
      </c>
      <c r="AT108">
        <f t="shared" si="123"/>
        <v>4.5423025000000008</v>
      </c>
      <c r="AU108" s="20">
        <f t="shared" si="108"/>
        <v>545</v>
      </c>
      <c r="AV108">
        <f>O108</f>
        <v>625224</v>
      </c>
      <c r="AW108" s="19">
        <f>VLOOKUP(AU108,'Hazard Weighting Functions'!$B$5:$G$1205,3,FALSE)</f>
        <v>1.2999999999999999E-2</v>
      </c>
      <c r="AX108">
        <f t="shared" si="124"/>
        <v>8127.9119999999994</v>
      </c>
      <c r="AY108" s="19">
        <f t="shared" si="125"/>
        <v>36338.42</v>
      </c>
      <c r="AZ108" s="20">
        <f t="shared" si="102"/>
        <v>458</v>
      </c>
      <c r="BA108" s="20">
        <f t="shared" si="103"/>
        <v>310222.08595975098</v>
      </c>
      <c r="BB108" s="19">
        <f>VLOOKUP(AZ108,'Hazard Weighting Functions'!$B$5:$G$1205,3,FALSE)</f>
        <v>0.83859254299999997</v>
      </c>
      <c r="BC108">
        <f t="shared" si="126"/>
        <v>260149.92795975215</v>
      </c>
      <c r="BD108" s="19">
        <f t="shared" si="127"/>
        <v>513726.24795975222</v>
      </c>
      <c r="BF108" s="20">
        <f t="shared" ref="BF108:BG108" si="149">H198</f>
        <v>745</v>
      </c>
      <c r="BG108" s="20">
        <f t="shared" si="149"/>
        <v>144.422</v>
      </c>
      <c r="BH108" s="19">
        <f>VLOOKUP(BF108,'Hazard Weighting Functions'!$B$5:$G$1205,4,FALSE)</f>
        <v>0.81299999999999994</v>
      </c>
      <c r="BI108" s="19">
        <f t="shared" si="129"/>
        <v>117.41508599999999</v>
      </c>
      <c r="BJ108" s="19">
        <f t="shared" si="130"/>
        <v>581.41630999999995</v>
      </c>
      <c r="BK108" s="1">
        <f t="shared" si="105"/>
        <v>545</v>
      </c>
      <c r="BL108" s="20">
        <f t="shared" si="106"/>
        <v>625224</v>
      </c>
      <c r="BM108">
        <f>VLOOKUP(BK108,'Hazard Weighting Functions'!$B$5:$G$1205,4,FALSE)</f>
        <v>1</v>
      </c>
      <c r="BN108">
        <f t="shared" si="131"/>
        <v>625224</v>
      </c>
      <c r="BO108" s="19">
        <f t="shared" si="78"/>
        <v>3164923.9999999995</v>
      </c>
      <c r="BP108" s="20">
        <f t="shared" si="107"/>
        <v>458</v>
      </c>
      <c r="BQ108" s="20">
        <f t="shared" si="107"/>
        <v>310222.08595975098</v>
      </c>
      <c r="BR108" s="19">
        <f>VLOOKUP(BP108,'Hazard Weighting Functions'!$B$5:$G$1205,4,FALSE)</f>
        <v>8.3859254249999999</v>
      </c>
      <c r="BS108" s="19">
        <f t="shared" si="132"/>
        <v>2601499.2780464115</v>
      </c>
      <c r="BT108" s="19">
        <f t="shared" si="133"/>
        <v>5137262.4780464116</v>
      </c>
      <c r="BV108">
        <f>VLOOKUP(BK108,'Hazard Weighting Functions'!$B$5:$G$1205,5,FALSE)</f>
        <v>0.98029999999999995</v>
      </c>
      <c r="BW108" s="24">
        <f t="shared" si="134"/>
        <v>612907.08719999995</v>
      </c>
      <c r="BX108" s="24">
        <f t="shared" si="135"/>
        <v>3126042.3047999991</v>
      </c>
    </row>
    <row r="109" spans="2:76">
      <c r="B109">
        <v>360</v>
      </c>
      <c r="C109" s="36">
        <v>8.9009199999999993</v>
      </c>
      <c r="E109">
        <v>360</v>
      </c>
      <c r="F109" s="36">
        <v>8.9009199999999993</v>
      </c>
      <c r="H109" s="19">
        <v>360</v>
      </c>
      <c r="I109" s="36">
        <v>8.9009199999999993</v>
      </c>
      <c r="K109">
        <v>1400</v>
      </c>
      <c r="L109" s="36">
        <f>1097.090904*(1628/1602)</f>
        <v>1114.8963743520599</v>
      </c>
      <c r="N109">
        <v>550</v>
      </c>
      <c r="O109" s="36">
        <v>640745.59999999986</v>
      </c>
      <c r="Q109" s="19">
        <v>460</v>
      </c>
      <c r="R109" s="36">
        <v>316970.40000000002</v>
      </c>
      <c r="V109">
        <f t="shared" si="110"/>
        <v>360</v>
      </c>
      <c r="W109">
        <f t="shared" si="111"/>
        <v>8.9009199999999993</v>
      </c>
      <c r="Y109">
        <f t="shared" si="112"/>
        <v>360</v>
      </c>
      <c r="Z109">
        <f t="shared" si="113"/>
        <v>8.9009199999999993</v>
      </c>
      <c r="AA109">
        <f>VLOOKUP(Y109,'Hazard Weighting Functions'!$B$5:$G$1205,2,FALSE)</f>
        <v>1.2999999999999999E-4</v>
      </c>
      <c r="AB109">
        <f t="shared" si="114"/>
        <v>1.1571195999999998E-3</v>
      </c>
      <c r="AC109">
        <f t="shared" si="115"/>
        <v>2.2891372354002745E-3</v>
      </c>
      <c r="AD109">
        <f t="shared" si="116"/>
        <v>18.17975307705143</v>
      </c>
      <c r="AE109">
        <f>VLOOKUP(Y109,'Hazard Weighting Functions'!$B$5:$G$1205,3,FALSE)</f>
        <v>0.01</v>
      </c>
      <c r="AF109">
        <f t="shared" si="117"/>
        <v>8.9009199999999997E-2</v>
      </c>
      <c r="AG109">
        <f t="shared" si="118"/>
        <v>0.1817975307705143</v>
      </c>
      <c r="AH109">
        <f>VLOOKUP(Y109,'Hazard Weighting Functions'!$B$5:$G$1205,5,FALSE)</f>
        <v>0</v>
      </c>
      <c r="AI109">
        <f t="shared" si="119"/>
        <v>0</v>
      </c>
      <c r="AJ109">
        <f t="shared" si="120"/>
        <v>0</v>
      </c>
      <c r="AP109" s="20">
        <f>'IEC_EN62471- Halogen non-GLS'!E159</f>
        <v>550</v>
      </c>
      <c r="AQ109" s="20">
        <f t="shared" si="121"/>
        <v>80.09320000000001</v>
      </c>
      <c r="AR109">
        <f>VLOOKUP(AP109,'Hazard Weighting Functions'!$B$5:$G$1205,3,FALSE)</f>
        <v>0.01</v>
      </c>
      <c r="AS109">
        <f t="shared" si="122"/>
        <v>0.80093200000000009</v>
      </c>
      <c r="AT109">
        <f t="shared" si="123"/>
        <v>3.6543780000000003</v>
      </c>
      <c r="AU109" s="20">
        <f t="shared" si="108"/>
        <v>550</v>
      </c>
      <c r="AV109">
        <f>O109</f>
        <v>640745.59999999986</v>
      </c>
      <c r="AW109" s="19">
        <f>VLOOKUP(AU109,'Hazard Weighting Functions'!$B$5:$G$1205,3,FALSE)</f>
        <v>0.01</v>
      </c>
      <c r="AX109">
        <f t="shared" si="124"/>
        <v>6407.4559999999983</v>
      </c>
      <c r="AY109" s="19">
        <f t="shared" si="125"/>
        <v>29235.023999999994</v>
      </c>
      <c r="AZ109" s="20">
        <f t="shared" si="102"/>
        <v>460</v>
      </c>
      <c r="BA109" s="20">
        <f t="shared" si="103"/>
        <v>316970.40000000002</v>
      </c>
      <c r="BB109" s="19">
        <f>VLOOKUP(AZ109,'Hazard Weighting Functions'!$B$5:$G$1205,3,FALSE)</f>
        <v>0.8</v>
      </c>
      <c r="BC109">
        <f t="shared" si="126"/>
        <v>253576.32000000004</v>
      </c>
      <c r="BD109" s="19">
        <f t="shared" si="127"/>
        <v>499016.99500277272</v>
      </c>
      <c r="BF109" s="20">
        <f t="shared" ref="BF109:BG109" si="150">H199</f>
        <v>750</v>
      </c>
      <c r="BG109" s="20">
        <f t="shared" si="150"/>
        <v>145.02699999999999</v>
      </c>
      <c r="BH109" s="19">
        <f>VLOOKUP(BF109,'Hazard Weighting Functions'!$B$5:$G$1205,4,FALSE)</f>
        <v>0.79400000000000004</v>
      </c>
      <c r="BI109" s="19">
        <f t="shared" si="129"/>
        <v>115.151438</v>
      </c>
      <c r="BJ109" s="19">
        <f t="shared" si="130"/>
        <v>570.588975</v>
      </c>
      <c r="BK109" s="1">
        <f t="shared" si="105"/>
        <v>550</v>
      </c>
      <c r="BL109" s="20">
        <f t="shared" si="106"/>
        <v>640745.59999999986</v>
      </c>
      <c r="BM109">
        <f>VLOOKUP(BK109,'Hazard Weighting Functions'!$B$5:$G$1205,4,FALSE)</f>
        <v>1</v>
      </c>
      <c r="BN109">
        <f t="shared" si="131"/>
        <v>640745.59999999986</v>
      </c>
      <c r="BO109" s="19">
        <f t="shared" si="78"/>
        <v>3253911.9999999995</v>
      </c>
      <c r="BP109" s="20">
        <f t="shared" si="107"/>
        <v>460</v>
      </c>
      <c r="BQ109" s="20">
        <f t="shared" si="107"/>
        <v>316970.40000000002</v>
      </c>
      <c r="BR109" s="19">
        <f>VLOOKUP(BP109,'Hazard Weighting Functions'!$B$5:$G$1205,4,FALSE)</f>
        <v>8</v>
      </c>
      <c r="BS109" s="19">
        <f t="shared" si="132"/>
        <v>2535763.2000000002</v>
      </c>
      <c r="BT109" s="19">
        <f t="shared" si="133"/>
        <v>4990169.9497040939</v>
      </c>
      <c r="BV109">
        <f>VLOOKUP(BK109,'Hazard Weighting Functions'!$B$5:$G$1205,5,FALSE)</f>
        <v>0.99495</v>
      </c>
      <c r="BW109" s="24">
        <f t="shared" si="134"/>
        <v>637509.83471999981</v>
      </c>
      <c r="BX109" s="24">
        <f t="shared" si="135"/>
        <v>3245822.5867999997</v>
      </c>
    </row>
    <row r="110" spans="2:76">
      <c r="B110">
        <v>362</v>
      </c>
      <c r="C110" s="36">
        <v>9.2788330770514325</v>
      </c>
      <c r="E110">
        <v>362</v>
      </c>
      <c r="F110" s="36">
        <v>9.2788330770514325</v>
      </c>
      <c r="H110" s="19">
        <v>362</v>
      </c>
      <c r="I110" s="36">
        <v>9.2788330770514325</v>
      </c>
      <c r="K110">
        <v>1405</v>
      </c>
      <c r="L110" s="36">
        <f>1089.380736*(1628/1602)</f>
        <v>1107.061072539326</v>
      </c>
      <c r="N110">
        <v>555</v>
      </c>
      <c r="O110" s="36">
        <v>660819.19999999995</v>
      </c>
      <c r="Q110" s="19">
        <v>462</v>
      </c>
      <c r="R110" s="36">
        <v>323633.39444029354</v>
      </c>
      <c r="V110">
        <f t="shared" si="110"/>
        <v>362</v>
      </c>
      <c r="W110">
        <f t="shared" si="111"/>
        <v>9.2788330770514325</v>
      </c>
      <c r="Y110">
        <f t="shared" si="112"/>
        <v>362</v>
      </c>
      <c r="Z110">
        <f t="shared" si="113"/>
        <v>9.2788330770514325</v>
      </c>
      <c r="AA110">
        <f>VLOOKUP(Y110,'Hazard Weighting Functions'!$B$5:$G$1205,2,FALSE)</f>
        <v>1.22E-4</v>
      </c>
      <c r="AB110">
        <f t="shared" si="114"/>
        <v>1.1320176354002746E-3</v>
      </c>
      <c r="AC110">
        <f t="shared" si="115"/>
        <v>2.2334349882962051E-3</v>
      </c>
      <c r="AD110">
        <f t="shared" si="116"/>
        <v>18.940388804208716</v>
      </c>
      <c r="AE110">
        <f>VLOOKUP(Y110,'Hazard Weighting Functions'!$B$5:$G$1205,3,FALSE)</f>
        <v>0.01</v>
      </c>
      <c r="AF110">
        <f t="shared" si="117"/>
        <v>9.2788330770514321E-2</v>
      </c>
      <c r="AG110">
        <f t="shared" si="118"/>
        <v>0.18940388804208719</v>
      </c>
      <c r="AH110">
        <f>VLOOKUP(Y110,'Hazard Weighting Functions'!$B$5:$G$1205,5,FALSE)</f>
        <v>0</v>
      </c>
      <c r="AI110">
        <f t="shared" si="119"/>
        <v>0</v>
      </c>
      <c r="AJ110">
        <f t="shared" si="120"/>
        <v>0</v>
      </c>
      <c r="AP110" s="20">
        <f>'IEC_EN62471- Halogen non-GLS'!E160</f>
        <v>555</v>
      </c>
      <c r="AQ110" s="20">
        <f t="shared" si="121"/>
        <v>82.602400000000003</v>
      </c>
      <c r="AR110">
        <f>VLOOKUP(AP110,'Hazard Weighting Functions'!$B$5:$G$1205,3,FALSE)</f>
        <v>8.0000000000000002E-3</v>
      </c>
      <c r="AS110">
        <f t="shared" si="122"/>
        <v>0.66081920000000005</v>
      </c>
      <c r="AT110">
        <f t="shared" si="123"/>
        <v>2.9261675</v>
      </c>
      <c r="AU110" s="20">
        <f t="shared" si="108"/>
        <v>555</v>
      </c>
      <c r="AV110">
        <f>O110</f>
        <v>660819.19999999995</v>
      </c>
      <c r="AW110" s="19">
        <f>VLOOKUP(AU110,'Hazard Weighting Functions'!$B$5:$G$1205,3,FALSE)</f>
        <v>8.0000000000000002E-3</v>
      </c>
      <c r="AX110">
        <f t="shared" si="124"/>
        <v>5286.5536000000002</v>
      </c>
      <c r="AY110" s="19">
        <f t="shared" si="125"/>
        <v>23409.340000000004</v>
      </c>
      <c r="AZ110" s="20">
        <f t="shared" si="102"/>
        <v>462</v>
      </c>
      <c r="BA110" s="20">
        <f t="shared" si="103"/>
        <v>323633.39444029354</v>
      </c>
      <c r="BB110" s="19">
        <f>VLOOKUP(AZ110,'Hazard Weighting Functions'!$B$5:$G$1205,3,FALSE)</f>
        <v>0.75839106599999995</v>
      </c>
      <c r="BC110">
        <f t="shared" si="126"/>
        <v>245440.67500277268</v>
      </c>
      <c r="BD110" s="19">
        <f t="shared" si="127"/>
        <v>482894.63410887006</v>
      </c>
      <c r="BF110" s="20">
        <f t="shared" ref="BF110:BG110" si="151">H200</f>
        <v>755</v>
      </c>
      <c r="BG110" s="20">
        <f t="shared" si="151"/>
        <v>145.727</v>
      </c>
      <c r="BH110" s="19">
        <f>VLOOKUP(BF110,'Hazard Weighting Functions'!$B$5:$G$1205,4,FALSE)</f>
        <v>0.77600000000000002</v>
      </c>
      <c r="BI110" s="19">
        <f t="shared" si="129"/>
        <v>113.084152</v>
      </c>
      <c r="BJ110" s="19">
        <f t="shared" si="130"/>
        <v>559.34311000000002</v>
      </c>
      <c r="BK110" s="1">
        <f t="shared" si="105"/>
        <v>555</v>
      </c>
      <c r="BL110" s="20">
        <f t="shared" si="106"/>
        <v>660819.19999999995</v>
      </c>
      <c r="BM110">
        <f>VLOOKUP(BK110,'Hazard Weighting Functions'!$B$5:$G$1205,4,FALSE)</f>
        <v>1</v>
      </c>
      <c r="BN110">
        <f t="shared" si="131"/>
        <v>660819.19999999995</v>
      </c>
      <c r="BO110" s="19">
        <f t="shared" si="78"/>
        <v>3350873.9999999995</v>
      </c>
      <c r="BP110" s="20">
        <f t="shared" si="107"/>
        <v>462</v>
      </c>
      <c r="BQ110" s="20">
        <f t="shared" si="107"/>
        <v>323633.39444029354</v>
      </c>
      <c r="BR110" s="19">
        <f>VLOOKUP(BP110,'Hazard Weighting Functions'!$B$5:$G$1205,4,FALSE)</f>
        <v>7.5839106589999998</v>
      </c>
      <c r="BS110" s="19">
        <f t="shared" si="132"/>
        <v>2454406.7497040937</v>
      </c>
      <c r="BT110" s="19">
        <f t="shared" si="133"/>
        <v>4828946.3407650674</v>
      </c>
      <c r="BV110">
        <f>VLOOKUP(BK110,'Hazard Weighting Functions'!$B$5:$G$1205,5,FALSE)</f>
        <v>1</v>
      </c>
      <c r="BW110" s="24">
        <f t="shared" si="134"/>
        <v>660819.19999999995</v>
      </c>
      <c r="BX110" s="24">
        <f t="shared" si="135"/>
        <v>3342379.8699999996</v>
      </c>
    </row>
    <row r="111" spans="2:76">
      <c r="B111">
        <v>364</v>
      </c>
      <c r="C111" s="36">
        <v>9.6615557271572854</v>
      </c>
      <c r="E111">
        <v>364</v>
      </c>
      <c r="F111" s="36">
        <v>9.6615557271572854</v>
      </c>
      <c r="H111" s="19">
        <v>364</v>
      </c>
      <c r="I111" s="36">
        <v>9.6615557271572854</v>
      </c>
      <c r="K111">
        <v>1410</v>
      </c>
      <c r="L111" s="36">
        <f>1081.70394*(1628/1602)</f>
        <v>1099.2596843445692</v>
      </c>
      <c r="N111">
        <v>560</v>
      </c>
      <c r="O111" s="36">
        <v>679530.39999999991</v>
      </c>
      <c r="Q111" s="19">
        <v>464</v>
      </c>
      <c r="R111" s="36">
        <v>330280.53971073841</v>
      </c>
      <c r="V111">
        <f t="shared" si="110"/>
        <v>364</v>
      </c>
      <c r="W111">
        <f t="shared" si="111"/>
        <v>9.6615557271572854</v>
      </c>
      <c r="Y111">
        <f t="shared" si="112"/>
        <v>364</v>
      </c>
      <c r="Z111">
        <f t="shared" si="113"/>
        <v>9.6615557271572854</v>
      </c>
      <c r="AA111">
        <f>VLOOKUP(Y111,'Hazard Weighting Functions'!$B$5:$G$1205,2,FALSE)</f>
        <v>1.1400000000000001E-4</v>
      </c>
      <c r="AB111">
        <f t="shared" si="114"/>
        <v>1.1014173528959305E-3</v>
      </c>
      <c r="AC111">
        <f t="shared" si="115"/>
        <v>2.1674219021453446E-3</v>
      </c>
      <c r="AD111">
        <f t="shared" si="116"/>
        <v>19.718202418189492</v>
      </c>
      <c r="AE111">
        <f>VLOOKUP(Y111,'Hazard Weighting Functions'!$B$5:$G$1205,3,FALSE)</f>
        <v>0.01</v>
      </c>
      <c r="AF111">
        <f t="shared" si="117"/>
        <v>9.6615557271572852E-2</v>
      </c>
      <c r="AG111">
        <f t="shared" si="118"/>
        <v>0.19718202418189495</v>
      </c>
      <c r="AH111">
        <f>VLOOKUP(Y111,'Hazard Weighting Functions'!$B$5:$G$1205,5,FALSE)</f>
        <v>0</v>
      </c>
      <c r="AI111">
        <f t="shared" si="119"/>
        <v>0</v>
      </c>
      <c r="AJ111">
        <f t="shared" si="120"/>
        <v>0</v>
      </c>
      <c r="AP111" s="20">
        <f>'IEC_EN62471- Halogen non-GLS'!E161</f>
        <v>560</v>
      </c>
      <c r="AQ111" s="20">
        <f t="shared" si="121"/>
        <v>84.941299999999998</v>
      </c>
      <c r="AR111">
        <f>VLOOKUP(AP111,'Hazard Weighting Functions'!$B$5:$G$1205,3,FALSE)</f>
        <v>6.0000000000000001E-3</v>
      </c>
      <c r="AS111">
        <f t="shared" si="122"/>
        <v>0.50964779999999998</v>
      </c>
      <c r="AT111">
        <f t="shared" si="123"/>
        <v>2.3620595</v>
      </c>
      <c r="AU111" s="20">
        <f t="shared" si="108"/>
        <v>560</v>
      </c>
      <c r="AV111">
        <f>O111</f>
        <v>679530.39999999991</v>
      </c>
      <c r="AW111" s="19">
        <f>VLOOKUP(AU111,'Hazard Weighting Functions'!$B$5:$G$1205,3,FALSE)</f>
        <v>6.0000000000000001E-3</v>
      </c>
      <c r="AX111">
        <f t="shared" si="124"/>
        <v>4077.1823999999997</v>
      </c>
      <c r="AY111" s="19">
        <f t="shared" si="125"/>
        <v>18896.475999999999</v>
      </c>
      <c r="AZ111" s="20">
        <f t="shared" si="102"/>
        <v>464</v>
      </c>
      <c r="BA111" s="20">
        <f t="shared" si="103"/>
        <v>330280.53971073841</v>
      </c>
      <c r="BB111" s="19">
        <f>VLOOKUP(AZ111,'Hazard Weighting Functions'!$B$5:$G$1205,3,FALSE)</f>
        <v>0.71894626100000003</v>
      </c>
      <c r="BC111">
        <f t="shared" si="126"/>
        <v>237453.95910609741</v>
      </c>
      <c r="BD111" s="19">
        <f t="shared" si="127"/>
        <v>467706.49819663411</v>
      </c>
      <c r="BF111" s="20">
        <f t="shared" ref="BF111:BG111" si="152">H201</f>
        <v>760</v>
      </c>
      <c r="BG111" s="20">
        <f t="shared" si="152"/>
        <v>145.78800000000001</v>
      </c>
      <c r="BH111" s="19">
        <f>VLOOKUP(BF111,'Hazard Weighting Functions'!$B$5:$G$1205,4,FALSE)</f>
        <v>0.75900000000000001</v>
      </c>
      <c r="BI111" s="19">
        <f t="shared" si="129"/>
        <v>110.65309200000002</v>
      </c>
      <c r="BJ111" s="19">
        <f t="shared" si="130"/>
        <v>548.69273250000003</v>
      </c>
      <c r="BK111" s="1">
        <f t="shared" si="105"/>
        <v>560</v>
      </c>
      <c r="BL111" s="20">
        <f t="shared" si="106"/>
        <v>679530.39999999991</v>
      </c>
      <c r="BM111">
        <f>VLOOKUP(BK111,'Hazard Weighting Functions'!$B$5:$G$1205,4,FALSE)</f>
        <v>1</v>
      </c>
      <c r="BN111">
        <f t="shared" si="131"/>
        <v>679530.39999999991</v>
      </c>
      <c r="BO111" s="19">
        <f t="shared" si="78"/>
        <v>3439530</v>
      </c>
      <c r="BP111" s="20">
        <f t="shared" si="107"/>
        <v>464</v>
      </c>
      <c r="BQ111" s="20">
        <f t="shared" si="107"/>
        <v>330280.53971073841</v>
      </c>
      <c r="BR111" s="19">
        <f>VLOOKUP(BP111,'Hazard Weighting Functions'!$B$5:$G$1205,4,FALSE)</f>
        <v>7.1894626099999996</v>
      </c>
      <c r="BS111" s="19">
        <f t="shared" si="132"/>
        <v>2374539.5910609737</v>
      </c>
      <c r="BT111" s="19">
        <f t="shared" si="133"/>
        <v>4677064.9826403679</v>
      </c>
      <c r="BV111">
        <f>VLOOKUP(BK111,'Hazard Weighting Functions'!$B$5:$G$1205,5,FALSE)</f>
        <v>0.995</v>
      </c>
      <c r="BW111" s="24">
        <f t="shared" si="134"/>
        <v>676132.74799999991</v>
      </c>
      <c r="BX111" s="24">
        <f t="shared" si="135"/>
        <v>3393784.8043999998</v>
      </c>
    </row>
    <row r="112" spans="2:76">
      <c r="B112">
        <v>366</v>
      </c>
      <c r="C112" s="36">
        <v>10.056646691032208</v>
      </c>
      <c r="E112">
        <v>366</v>
      </c>
      <c r="F112" s="36">
        <v>10.056646691032208</v>
      </c>
      <c r="H112" s="19">
        <v>366</v>
      </c>
      <c r="I112" s="36">
        <v>10.056646691032208</v>
      </c>
      <c r="K112">
        <v>1415</v>
      </c>
      <c r="L112" s="36">
        <f>1074.061752*(1628/1602)</f>
        <v>1091.4934658277155</v>
      </c>
      <c r="N112">
        <v>565</v>
      </c>
      <c r="O112" s="36">
        <v>696281.59999999998</v>
      </c>
      <c r="Q112" s="19">
        <v>466</v>
      </c>
      <c r="R112" s="36">
        <v>337013.77950431505</v>
      </c>
      <c r="V112">
        <f t="shared" si="110"/>
        <v>366</v>
      </c>
      <c r="W112">
        <f t="shared" si="111"/>
        <v>10.056646691032208</v>
      </c>
      <c r="Y112">
        <f t="shared" si="112"/>
        <v>366</v>
      </c>
      <c r="Z112">
        <f t="shared" si="113"/>
        <v>10.056646691032208</v>
      </c>
      <c r="AA112">
        <f>VLOOKUP(Y112,'Hazard Weighting Functions'!$B$5:$G$1205,2,FALSE)</f>
        <v>1.06E-4</v>
      </c>
      <c r="AB112">
        <f t="shared" si="114"/>
        <v>1.0660045492494141E-3</v>
      </c>
      <c r="AC112">
        <f t="shared" si="115"/>
        <v>2.1022821987247407E-3</v>
      </c>
      <c r="AD112">
        <f t="shared" si="116"/>
        <v>20.524097695833486</v>
      </c>
      <c r="AE112">
        <f>VLOOKUP(Y112,'Hazard Weighting Functions'!$B$5:$G$1205,3,FALSE)</f>
        <v>0.01</v>
      </c>
      <c r="AF112">
        <f t="shared" si="117"/>
        <v>0.10056646691032209</v>
      </c>
      <c r="AG112">
        <f t="shared" si="118"/>
        <v>0.20524097695833488</v>
      </c>
      <c r="AH112">
        <f>VLOOKUP(Y112,'Hazard Weighting Functions'!$B$5:$G$1205,5,FALSE)</f>
        <v>0</v>
      </c>
      <c r="AI112">
        <f t="shared" si="119"/>
        <v>0</v>
      </c>
      <c r="AJ112">
        <f t="shared" si="120"/>
        <v>0</v>
      </c>
      <c r="AP112" s="20">
        <f>'IEC_EN62471- Halogen non-GLS'!E162</f>
        <v>565</v>
      </c>
      <c r="AQ112" s="20">
        <f t="shared" si="121"/>
        <v>87.035200000000003</v>
      </c>
      <c r="AR112">
        <f>VLOOKUP(AP112,'Hazard Weighting Functions'!$B$5:$G$1205,3,FALSE)</f>
        <v>5.0000000000000001E-3</v>
      </c>
      <c r="AS112">
        <f t="shared" si="122"/>
        <v>0.43517600000000001</v>
      </c>
      <c r="AT112">
        <f t="shared" si="123"/>
        <v>1.9810569999999998</v>
      </c>
      <c r="AU112" s="20">
        <f t="shared" si="108"/>
        <v>565</v>
      </c>
      <c r="AV112">
        <f>O112</f>
        <v>696281.59999999998</v>
      </c>
      <c r="AW112" s="19">
        <f>VLOOKUP(AU112,'Hazard Weighting Functions'!$B$5:$G$1205,3,FALSE)</f>
        <v>5.0000000000000001E-3</v>
      </c>
      <c r="AX112">
        <f t="shared" si="124"/>
        <v>3481.4079999999999</v>
      </c>
      <c r="AY112" s="19">
        <f t="shared" si="125"/>
        <v>15848.456000000002</v>
      </c>
      <c r="AZ112" s="20">
        <f t="shared" si="102"/>
        <v>466</v>
      </c>
      <c r="BA112" s="20">
        <f t="shared" si="103"/>
        <v>337013.77950431505</v>
      </c>
      <c r="BB112" s="19">
        <f>VLOOKUP(AZ112,'Hazard Weighting Functions'!$B$5:$G$1205,3,FALSE)</f>
        <v>0.68321401999999998</v>
      </c>
      <c r="BC112">
        <f t="shared" si="126"/>
        <v>230252.53909053668</v>
      </c>
      <c r="BD112" s="19">
        <f t="shared" si="127"/>
        <v>454043.0066560735</v>
      </c>
      <c r="BF112" s="20">
        <f t="shared" ref="BF112:BG112" si="153">H202</f>
        <v>765</v>
      </c>
      <c r="BG112" s="20">
        <f t="shared" si="153"/>
        <v>146.86099999999999</v>
      </c>
      <c r="BH112" s="19">
        <f>VLOOKUP(BF112,'Hazard Weighting Functions'!$B$5:$G$1205,4,FALSE)</f>
        <v>0.74099999999999999</v>
      </c>
      <c r="BI112" s="19">
        <f t="shared" si="129"/>
        <v>108.824001</v>
      </c>
      <c r="BJ112" s="19">
        <f t="shared" si="130"/>
        <v>538.58069249999994</v>
      </c>
      <c r="BK112" s="1">
        <f t="shared" si="105"/>
        <v>565</v>
      </c>
      <c r="BL112" s="20">
        <f t="shared" si="106"/>
        <v>696281.59999999998</v>
      </c>
      <c r="BM112">
        <f>VLOOKUP(BK112,'Hazard Weighting Functions'!$B$5:$G$1205,4,FALSE)</f>
        <v>1</v>
      </c>
      <c r="BN112">
        <f t="shared" si="131"/>
        <v>696281.59999999998</v>
      </c>
      <c r="BO112" s="19">
        <f t="shared" si="78"/>
        <v>3526938</v>
      </c>
      <c r="BP112" s="20">
        <f t="shared" si="107"/>
        <v>466</v>
      </c>
      <c r="BQ112" s="20">
        <f t="shared" si="107"/>
        <v>337013.77950431505</v>
      </c>
      <c r="BR112" s="19">
        <f>VLOOKUP(BP112,'Hazard Weighting Functions'!$B$5:$G$1205,4,FALSE)</f>
        <v>6.8321402019999997</v>
      </c>
      <c r="BS112" s="19">
        <f t="shared" si="132"/>
        <v>2302525.3915793942</v>
      </c>
      <c r="BT112" s="19">
        <f t="shared" si="133"/>
        <v>4540430.067234762</v>
      </c>
      <c r="BV112">
        <f>VLOOKUP(BK112,'Hazard Weighting Functions'!$B$5:$G$1205,5,FALSE)</f>
        <v>0.97860000000000003</v>
      </c>
      <c r="BW112" s="24">
        <f t="shared" si="134"/>
        <v>681381.17376000003</v>
      </c>
      <c r="BX112" s="24">
        <f t="shared" si="135"/>
        <v>3403947.7023999998</v>
      </c>
    </row>
    <row r="113" spans="2:76">
      <c r="B113">
        <v>368</v>
      </c>
      <c r="C113" s="36">
        <v>10.467451004801278</v>
      </c>
      <c r="E113">
        <v>368</v>
      </c>
      <c r="F113" s="36">
        <v>10.467451004801278</v>
      </c>
      <c r="H113" s="19">
        <v>368</v>
      </c>
      <c r="I113" s="36">
        <v>10.467451004801278</v>
      </c>
      <c r="K113">
        <v>1420</v>
      </c>
      <c r="L113" s="36">
        <f>1066.454172*(1628/1602)</f>
        <v>1083.762416988764</v>
      </c>
      <c r="N113">
        <v>570</v>
      </c>
      <c r="O113" s="36">
        <v>714493.6</v>
      </c>
      <c r="Q113" s="19">
        <v>468</v>
      </c>
      <c r="R113" s="36">
        <v>343848.67402744689</v>
      </c>
      <c r="V113">
        <f t="shared" si="110"/>
        <v>368</v>
      </c>
      <c r="W113">
        <f t="shared" si="111"/>
        <v>10.467451004801278</v>
      </c>
      <c r="Y113">
        <f t="shared" si="112"/>
        <v>368</v>
      </c>
      <c r="Z113">
        <f t="shared" si="113"/>
        <v>10.467451004801278</v>
      </c>
      <c r="AA113">
        <f>VLOOKUP(Y113,'Hazard Weighting Functions'!$B$5:$G$1205,2,FALSE)</f>
        <v>9.8999999999999994E-5</v>
      </c>
      <c r="AB113">
        <f t="shared" si="114"/>
        <v>1.0362776494753265E-3</v>
      </c>
      <c r="AC113">
        <f t="shared" si="115"/>
        <v>2.0493359494753267E-3</v>
      </c>
      <c r="AD113">
        <f t="shared" si="116"/>
        <v>21.36055100480128</v>
      </c>
      <c r="AE113">
        <f>VLOOKUP(Y113,'Hazard Weighting Functions'!$B$5:$G$1205,3,FALSE)</f>
        <v>0.01</v>
      </c>
      <c r="AF113">
        <f t="shared" si="117"/>
        <v>0.10467451004801279</v>
      </c>
      <c r="AG113">
        <f t="shared" si="118"/>
        <v>0.21360551004801279</v>
      </c>
      <c r="AH113">
        <f>VLOOKUP(Y113,'Hazard Weighting Functions'!$B$5:$G$1205,5,FALSE)</f>
        <v>0</v>
      </c>
      <c r="AI113">
        <f t="shared" si="119"/>
        <v>0</v>
      </c>
      <c r="AJ113">
        <f t="shared" si="120"/>
        <v>0</v>
      </c>
      <c r="AP113" s="20">
        <f>'IEC_EN62471- Halogen non-GLS'!E163</f>
        <v>570</v>
      </c>
      <c r="AQ113" s="20">
        <f t="shared" si="121"/>
        <v>89.311700000000002</v>
      </c>
      <c r="AR113">
        <f>VLOOKUP(AP113,'Hazard Weighting Functions'!$B$5:$G$1205,3,FALSE)</f>
        <v>4.0000000000000001E-3</v>
      </c>
      <c r="AS113">
        <f t="shared" si="122"/>
        <v>0.35724680000000003</v>
      </c>
      <c r="AT113">
        <f t="shared" si="123"/>
        <v>1.58086175</v>
      </c>
      <c r="AU113" s="20">
        <f t="shared" si="108"/>
        <v>570</v>
      </c>
      <c r="AV113">
        <f>O113</f>
        <v>714493.6</v>
      </c>
      <c r="AW113" s="19">
        <f>VLOOKUP(AU113,'Hazard Weighting Functions'!$B$5:$G$1205,3,FALSE)</f>
        <v>4.0000000000000001E-3</v>
      </c>
      <c r="AX113">
        <f t="shared" si="124"/>
        <v>2857.9744000000001</v>
      </c>
      <c r="AY113" s="19">
        <f t="shared" si="125"/>
        <v>12646.894</v>
      </c>
      <c r="AZ113" s="20">
        <f t="shared" si="102"/>
        <v>468</v>
      </c>
      <c r="BA113" s="20">
        <f t="shared" si="103"/>
        <v>343848.67402744689</v>
      </c>
      <c r="BB113" s="19">
        <f>VLOOKUP(AZ113,'Hazard Weighting Functions'!$B$5:$G$1205,3,FALSE)</f>
        <v>0.65083999000000003</v>
      </c>
      <c r="BC113">
        <f t="shared" si="126"/>
        <v>223790.46756553682</v>
      </c>
      <c r="BD113" s="19">
        <f t="shared" si="127"/>
        <v>441233.3955655368</v>
      </c>
      <c r="BF113" s="20">
        <f t="shared" ref="BF113:BG113" si="154">H203</f>
        <v>770</v>
      </c>
      <c r="BG113" s="20">
        <f t="shared" si="154"/>
        <v>147.249</v>
      </c>
      <c r="BH113" s="19">
        <f>VLOOKUP(BF113,'Hazard Weighting Functions'!$B$5:$G$1205,4,FALSE)</f>
        <v>0.72399999999999998</v>
      </c>
      <c r="BI113" s="19">
        <f t="shared" si="129"/>
        <v>106.60827599999999</v>
      </c>
      <c r="BJ113" s="19">
        <f t="shared" si="130"/>
        <v>526.99034999999992</v>
      </c>
      <c r="BK113" s="1">
        <f t="shared" si="105"/>
        <v>570</v>
      </c>
      <c r="BL113" s="20">
        <f t="shared" si="106"/>
        <v>714493.6</v>
      </c>
      <c r="BM113">
        <f>VLOOKUP(BK113,'Hazard Weighting Functions'!$B$5:$G$1205,4,FALSE)</f>
        <v>1</v>
      </c>
      <c r="BN113">
        <f t="shared" si="131"/>
        <v>714493.6</v>
      </c>
      <c r="BO113" s="19">
        <f t="shared" si="78"/>
        <v>3620220</v>
      </c>
      <c r="BP113" s="20">
        <f t="shared" si="107"/>
        <v>468</v>
      </c>
      <c r="BQ113" s="20">
        <f t="shared" si="107"/>
        <v>343848.67402744689</v>
      </c>
      <c r="BR113" s="19">
        <f>VLOOKUP(BP113,'Hazard Weighting Functions'!$B$5:$G$1205,4,FALSE)</f>
        <v>6.5083998999999997</v>
      </c>
      <c r="BS113" s="19">
        <f t="shared" si="132"/>
        <v>2237904.6756553678</v>
      </c>
      <c r="BT113" s="19">
        <f t="shared" si="133"/>
        <v>4412333.955655368</v>
      </c>
      <c r="BV113">
        <f>VLOOKUP(BK113,'Hazard Weighting Functions'!$B$5:$G$1205,5,FALSE)</f>
        <v>0.95199999999999996</v>
      </c>
      <c r="BW113" s="24">
        <f t="shared" si="134"/>
        <v>680197.9071999999</v>
      </c>
      <c r="BX113" s="24">
        <f t="shared" si="135"/>
        <v>3379325.5523999995</v>
      </c>
    </row>
    <row r="114" spans="2:76">
      <c r="B114">
        <v>370</v>
      </c>
      <c r="C114" s="36">
        <v>10.8931</v>
      </c>
      <c r="E114">
        <v>370</v>
      </c>
      <c r="F114" s="36">
        <v>10.8931</v>
      </c>
      <c r="H114" s="19">
        <v>370</v>
      </c>
      <c r="I114" s="36">
        <v>10.8931</v>
      </c>
      <c r="K114">
        <v>1425</v>
      </c>
      <c r="L114" s="36">
        <f>1058.882436*(1628/1602)</f>
        <v>1076.0677938876406</v>
      </c>
      <c r="N114">
        <v>575</v>
      </c>
      <c r="O114" s="36">
        <v>733594.39999999991</v>
      </c>
      <c r="Q114" s="19">
        <v>470</v>
      </c>
      <c r="R114" s="36">
        <v>350714.4</v>
      </c>
      <c r="V114">
        <f t="shared" si="110"/>
        <v>370</v>
      </c>
      <c r="W114">
        <f t="shared" si="111"/>
        <v>10.8931</v>
      </c>
      <c r="Y114">
        <f t="shared" si="112"/>
        <v>370</v>
      </c>
      <c r="Z114">
        <f t="shared" si="113"/>
        <v>10.8931</v>
      </c>
      <c r="AA114">
        <f>VLOOKUP(Y114,'Hazard Weighting Functions'!$B$5:$G$1205,2,FALSE)</f>
        <v>9.2999999999999997E-5</v>
      </c>
      <c r="AB114">
        <f t="shared" si="114"/>
        <v>1.0130582999999999E-3</v>
      </c>
      <c r="AC114">
        <f t="shared" si="115"/>
        <v>1.9876064506614481E-3</v>
      </c>
      <c r="AD114">
        <f t="shared" si="116"/>
        <v>22.225055240249397</v>
      </c>
      <c r="AE114">
        <f>VLOOKUP(Y114,'Hazard Weighting Functions'!$B$5:$G$1205,3,FALSE)</f>
        <v>0.01</v>
      </c>
      <c r="AF114">
        <f t="shared" si="117"/>
        <v>0.108931</v>
      </c>
      <c r="AG114">
        <f t="shared" si="118"/>
        <v>0.22225055240249397</v>
      </c>
      <c r="AH114">
        <f>VLOOKUP(Y114,'Hazard Weighting Functions'!$B$5:$G$1205,5,FALSE)</f>
        <v>0</v>
      </c>
      <c r="AI114">
        <f t="shared" si="119"/>
        <v>0</v>
      </c>
      <c r="AJ114">
        <f t="shared" si="120"/>
        <v>0</v>
      </c>
      <c r="AP114" s="20">
        <f>'IEC_EN62471- Halogen non-GLS'!E164</f>
        <v>575</v>
      </c>
      <c r="AQ114" s="20">
        <f t="shared" si="121"/>
        <v>91.699299999999994</v>
      </c>
      <c r="AR114">
        <f>VLOOKUP(AP114,'Hazard Weighting Functions'!$B$5:$G$1205,3,FALSE)</f>
        <v>3.0000000000000001E-3</v>
      </c>
      <c r="AS114">
        <f t="shared" si="122"/>
        <v>0.27509790000000001</v>
      </c>
      <c r="AT114">
        <f t="shared" si="123"/>
        <v>1.15755275</v>
      </c>
      <c r="AU114" s="20">
        <f t="shared" si="108"/>
        <v>575</v>
      </c>
      <c r="AV114">
        <f>O114</f>
        <v>733594.39999999991</v>
      </c>
      <c r="AW114" s="19">
        <f>VLOOKUP(AU114,'Hazard Weighting Functions'!$B$5:$G$1205,3,FALSE)</f>
        <v>3.0000000000000001E-3</v>
      </c>
      <c r="AX114">
        <f t="shared" si="124"/>
        <v>2200.7831999999999</v>
      </c>
      <c r="AY114" s="19">
        <f t="shared" si="125"/>
        <v>9260.4220000000005</v>
      </c>
      <c r="AZ114" s="20">
        <f t="shared" si="102"/>
        <v>470</v>
      </c>
      <c r="BA114" s="20">
        <f t="shared" si="103"/>
        <v>350714.4</v>
      </c>
      <c r="BB114" s="19">
        <f>VLOOKUP(AZ114,'Hazard Weighting Functions'!$B$5:$G$1205,3,FALSE)</f>
        <v>0.62</v>
      </c>
      <c r="BC114">
        <f t="shared" si="126"/>
        <v>217442.92800000001</v>
      </c>
      <c r="BD114" s="19">
        <f t="shared" si="127"/>
        <v>428754.52050487581</v>
      </c>
      <c r="BF114" s="20">
        <f t="shared" ref="BF114:BG114" si="155">H204</f>
        <v>775</v>
      </c>
      <c r="BG114" s="20">
        <f t="shared" si="155"/>
        <v>147.15799999999999</v>
      </c>
      <c r="BH114" s="19">
        <f>VLOOKUP(BF114,'Hazard Weighting Functions'!$B$5:$G$1205,4,FALSE)</f>
        <v>0.70799999999999996</v>
      </c>
      <c r="BI114" s="19">
        <f t="shared" si="129"/>
        <v>104.18786399999999</v>
      </c>
      <c r="BJ114" s="19">
        <f t="shared" si="130"/>
        <v>515.49933999999996</v>
      </c>
      <c r="BK114" s="1">
        <f t="shared" si="105"/>
        <v>575</v>
      </c>
      <c r="BL114" s="20">
        <f t="shared" si="106"/>
        <v>733594.39999999991</v>
      </c>
      <c r="BM114">
        <f>VLOOKUP(BK114,'Hazard Weighting Functions'!$B$5:$G$1205,4,FALSE)</f>
        <v>1</v>
      </c>
      <c r="BN114">
        <f t="shared" si="131"/>
        <v>733594.39999999991</v>
      </c>
      <c r="BO114" s="19">
        <f t="shared" si="78"/>
        <v>3713218</v>
      </c>
      <c r="BP114" s="20">
        <f t="shared" si="107"/>
        <v>470</v>
      </c>
      <c r="BQ114" s="20">
        <f t="shared" si="107"/>
        <v>350714.4</v>
      </c>
      <c r="BR114" s="19">
        <f>VLOOKUP(BP114,'Hazard Weighting Functions'!$B$5:$G$1205,4,FALSE)</f>
        <v>6.2</v>
      </c>
      <c r="BS114" s="19">
        <f t="shared" si="132"/>
        <v>2174429.2800000003</v>
      </c>
      <c r="BT114" s="19">
        <f t="shared" si="133"/>
        <v>4287545.2039760919</v>
      </c>
      <c r="BV114">
        <f>VLOOKUP(BK114,'Hazard Weighting Functions'!$B$5:$G$1205,5,FALSE)</f>
        <v>0.91539999999999999</v>
      </c>
      <c r="BW114" s="24">
        <f t="shared" si="134"/>
        <v>671532.31375999993</v>
      </c>
      <c r="BX114" s="24">
        <f t="shared" si="135"/>
        <v>3313762.6243999996</v>
      </c>
    </row>
    <row r="115" spans="2:76">
      <c r="B115">
        <v>372</v>
      </c>
      <c r="C115" s="36">
        <v>11.331955240249398</v>
      </c>
      <c r="E115">
        <v>372</v>
      </c>
      <c r="F115" s="36">
        <v>11.331955240249398</v>
      </c>
      <c r="H115" s="19">
        <v>372</v>
      </c>
      <c r="I115" s="36">
        <v>11.331955240249398</v>
      </c>
      <c r="K115">
        <v>1430</v>
      </c>
      <c r="L115" s="36">
        <f>1051.346544*(1628/1602)</f>
        <v>1068.4095965243446</v>
      </c>
      <c r="N115">
        <v>580</v>
      </c>
      <c r="O115" s="36">
        <v>751692.80000000005</v>
      </c>
      <c r="Q115" s="19">
        <v>472</v>
      </c>
      <c r="R115" s="36">
        <v>357555.31099186756</v>
      </c>
      <c r="V115">
        <f t="shared" si="110"/>
        <v>372</v>
      </c>
      <c r="W115">
        <f t="shared" si="111"/>
        <v>11.331955240249398</v>
      </c>
      <c r="Y115">
        <f t="shared" si="112"/>
        <v>372</v>
      </c>
      <c r="Z115">
        <f t="shared" si="113"/>
        <v>11.331955240249398</v>
      </c>
      <c r="AA115">
        <f>VLOOKUP(Y115,'Hazard Weighting Functions'!$B$5:$G$1205,2,FALSE)</f>
        <v>8.6000000000000003E-5</v>
      </c>
      <c r="AB115">
        <f t="shared" si="114"/>
        <v>9.7454815066144826E-4</v>
      </c>
      <c r="AC115">
        <f t="shared" si="115"/>
        <v>1.9169507135176106E-3</v>
      </c>
      <c r="AD115">
        <f t="shared" si="116"/>
        <v>23.111987275951424</v>
      </c>
      <c r="AE115">
        <f>VLOOKUP(Y115,'Hazard Weighting Functions'!$B$5:$G$1205,3,FALSE)</f>
        <v>0.01</v>
      </c>
      <c r="AF115">
        <f t="shared" si="117"/>
        <v>0.11331955240249399</v>
      </c>
      <c r="AG115">
        <f t="shared" si="118"/>
        <v>0.23111987275951423</v>
      </c>
      <c r="AH115">
        <f>VLOOKUP(Y115,'Hazard Weighting Functions'!$B$5:$G$1205,5,FALSE)</f>
        <v>0</v>
      </c>
      <c r="AI115">
        <f t="shared" si="119"/>
        <v>0</v>
      </c>
      <c r="AJ115">
        <f t="shared" si="120"/>
        <v>0</v>
      </c>
      <c r="AP115" s="20">
        <f>'IEC_EN62471- Halogen non-GLS'!E165</f>
        <v>580</v>
      </c>
      <c r="AQ115" s="20">
        <f t="shared" si="121"/>
        <v>93.961600000000004</v>
      </c>
      <c r="AR115">
        <f>VLOOKUP(AP115,'Hazard Weighting Functions'!$B$5:$G$1205,3,FALSE)</f>
        <v>2E-3</v>
      </c>
      <c r="AS115">
        <f t="shared" si="122"/>
        <v>0.18792320000000001</v>
      </c>
      <c r="AT115">
        <f t="shared" si="123"/>
        <v>0.71005399999999996</v>
      </c>
      <c r="AU115" s="20">
        <f t="shared" si="108"/>
        <v>580</v>
      </c>
      <c r="AV115">
        <f>O115</f>
        <v>751692.80000000005</v>
      </c>
      <c r="AW115" s="19">
        <f>VLOOKUP(AU115,'Hazard Weighting Functions'!$B$5:$G$1205,3,FALSE)</f>
        <v>2E-3</v>
      </c>
      <c r="AX115">
        <f t="shared" si="124"/>
        <v>1503.3856000000001</v>
      </c>
      <c r="AY115" s="19">
        <f t="shared" si="125"/>
        <v>5680.4320000000007</v>
      </c>
      <c r="AZ115" s="20">
        <f t="shared" si="102"/>
        <v>472</v>
      </c>
      <c r="BA115" s="20">
        <f t="shared" si="103"/>
        <v>357555.31099186756</v>
      </c>
      <c r="BB115" s="19">
        <f>VLOOKUP(AZ115,'Hazard Weighting Functions'!$B$5:$G$1205,3,FALSE)</f>
        <v>0.59098994199999999</v>
      </c>
      <c r="BC115">
        <f t="shared" si="126"/>
        <v>211311.59250487576</v>
      </c>
      <c r="BD115" s="19">
        <f t="shared" si="127"/>
        <v>416586.90254836041</v>
      </c>
      <c r="BF115" s="20">
        <f t="shared" ref="BF115:BG115" si="156">H205</f>
        <v>780</v>
      </c>
      <c r="BG115" s="20">
        <f t="shared" si="156"/>
        <v>147.416</v>
      </c>
      <c r="BH115" s="19">
        <f>VLOOKUP(BF115,'Hazard Weighting Functions'!$B$5:$G$1205,4,FALSE)</f>
        <v>0.69199999999999995</v>
      </c>
      <c r="BI115" s="19">
        <f t="shared" si="129"/>
        <v>102.011872</v>
      </c>
      <c r="BJ115" s="19">
        <f t="shared" si="130"/>
        <v>505.29671000000002</v>
      </c>
      <c r="BK115" s="1">
        <f t="shared" si="105"/>
        <v>580</v>
      </c>
      <c r="BL115" s="20">
        <f t="shared" si="106"/>
        <v>751692.80000000005</v>
      </c>
      <c r="BM115">
        <f>VLOOKUP(BK115,'Hazard Weighting Functions'!$B$5:$G$1205,4,FALSE)</f>
        <v>1</v>
      </c>
      <c r="BN115">
        <f t="shared" si="131"/>
        <v>751692.80000000005</v>
      </c>
      <c r="BO115" s="19">
        <f t="shared" si="78"/>
        <v>3801200</v>
      </c>
      <c r="BP115" s="20">
        <f t="shared" si="107"/>
        <v>472</v>
      </c>
      <c r="BQ115" s="20">
        <f t="shared" si="107"/>
        <v>357555.31099186756</v>
      </c>
      <c r="BR115" s="19">
        <f>VLOOKUP(BP115,'Hazard Weighting Functions'!$B$5:$G$1205,4,FALSE)</f>
        <v>5.9098994170000001</v>
      </c>
      <c r="BS115" s="19">
        <f t="shared" si="132"/>
        <v>2113115.9239760917</v>
      </c>
      <c r="BT115" s="19">
        <f t="shared" si="133"/>
        <v>4165869.0247753295</v>
      </c>
      <c r="BV115">
        <f>VLOOKUP(BK115,'Hazard Weighting Functions'!$B$5:$G$1205,5,FALSE)</f>
        <v>0.87</v>
      </c>
      <c r="BW115" s="24">
        <f t="shared" si="134"/>
        <v>653972.73600000003</v>
      </c>
      <c r="BX115" s="24">
        <f t="shared" si="135"/>
        <v>3203834.3183999998</v>
      </c>
    </row>
    <row r="116" spans="2:76">
      <c r="B116">
        <v>374</v>
      </c>
      <c r="C116" s="36">
        <v>11.780032035702027</v>
      </c>
      <c r="E116">
        <v>374</v>
      </c>
      <c r="F116" s="36">
        <v>11.780032035702027</v>
      </c>
      <c r="H116" s="19">
        <v>374</v>
      </c>
      <c r="I116" s="36">
        <v>11.780032035702027</v>
      </c>
      <c r="K116">
        <v>1435</v>
      </c>
      <c r="L116" s="36">
        <f>1043.84526*(1628/1602)</f>
        <v>1060.7865688389513</v>
      </c>
      <c r="N116">
        <v>585</v>
      </c>
      <c r="O116" s="36">
        <v>768787.2</v>
      </c>
      <c r="Q116" s="19">
        <v>474</v>
      </c>
      <c r="R116" s="36">
        <v>364391.49118810421</v>
      </c>
      <c r="V116">
        <f t="shared" si="110"/>
        <v>374</v>
      </c>
      <c r="W116">
        <f t="shared" si="111"/>
        <v>11.780032035702027</v>
      </c>
      <c r="Y116">
        <f t="shared" si="112"/>
        <v>374</v>
      </c>
      <c r="Z116">
        <f t="shared" si="113"/>
        <v>11.780032035702027</v>
      </c>
      <c r="AA116">
        <f>VLOOKUP(Y116,'Hazard Weighting Functions'!$B$5:$G$1205,2,FALSE)</f>
        <v>8.0000000000000007E-5</v>
      </c>
      <c r="AB116">
        <f t="shared" si="114"/>
        <v>9.4240256285616224E-4</v>
      </c>
      <c r="AC116">
        <f t="shared" si="115"/>
        <v>1.8476487734098569E-3</v>
      </c>
      <c r="AD116">
        <f t="shared" si="116"/>
        <v>24.013088935076283</v>
      </c>
      <c r="AE116">
        <f>VLOOKUP(Y116,'Hazard Weighting Functions'!$B$5:$G$1205,3,FALSE)</f>
        <v>0.01</v>
      </c>
      <c r="AF116">
        <f t="shared" si="117"/>
        <v>0.11780032035702026</v>
      </c>
      <c r="AG116">
        <f t="shared" si="118"/>
        <v>0.24013088935076282</v>
      </c>
      <c r="AH116">
        <f>VLOOKUP(Y116,'Hazard Weighting Functions'!$B$5:$G$1205,5,FALSE)</f>
        <v>0</v>
      </c>
      <c r="AI116">
        <f t="shared" si="119"/>
        <v>0</v>
      </c>
      <c r="AJ116">
        <f t="shared" si="120"/>
        <v>0</v>
      </c>
      <c r="AP116" s="20">
        <f>'IEC_EN62471- Halogen non-GLS'!E166</f>
        <v>585</v>
      </c>
      <c r="AQ116" s="20">
        <f t="shared" si="121"/>
        <v>96.098399999999998</v>
      </c>
      <c r="AR116">
        <f>VLOOKUP(AP116,'Hazard Weighting Functions'!$B$5:$G$1205,3,FALSE)</f>
        <v>1E-3</v>
      </c>
      <c r="AS116">
        <f t="shared" si="122"/>
        <v>9.60984E-2</v>
      </c>
      <c r="AT116">
        <f t="shared" si="123"/>
        <v>0.48573499999999997</v>
      </c>
      <c r="AU116" s="20">
        <f t="shared" si="108"/>
        <v>585</v>
      </c>
      <c r="AV116">
        <f>O116</f>
        <v>768787.2</v>
      </c>
      <c r="AW116" s="19">
        <f>VLOOKUP(AU116,'Hazard Weighting Functions'!$B$5:$G$1205,3,FALSE)</f>
        <v>1E-3</v>
      </c>
      <c r="AX116">
        <f t="shared" si="124"/>
        <v>768.78719999999998</v>
      </c>
      <c r="AY116" s="19">
        <f t="shared" si="125"/>
        <v>3885.88</v>
      </c>
      <c r="AZ116" s="20">
        <f t="shared" si="102"/>
        <v>474</v>
      </c>
      <c r="BA116" s="20">
        <f t="shared" si="103"/>
        <v>364391.49118810421</v>
      </c>
      <c r="BB116" s="19">
        <f>VLOOKUP(AZ116,'Hazard Weighting Functions'!$B$5:$G$1205,3,FALSE)</f>
        <v>0.56333727600000005</v>
      </c>
      <c r="BC116">
        <f t="shared" si="126"/>
        <v>205275.31004348464</v>
      </c>
      <c r="BD116" s="19">
        <f t="shared" si="127"/>
        <v>401435.15095872642</v>
      </c>
      <c r="BF116" s="20">
        <f t="shared" ref="BF116:BG116" si="157">H206</f>
        <v>785</v>
      </c>
      <c r="BG116" s="20">
        <f t="shared" si="157"/>
        <v>148.08699999999999</v>
      </c>
      <c r="BH116" s="19">
        <f>VLOOKUP(BF116,'Hazard Weighting Functions'!$B$5:$G$1205,4,FALSE)</f>
        <v>0.67600000000000005</v>
      </c>
      <c r="BI116" s="19">
        <f t="shared" si="129"/>
        <v>100.10681200000001</v>
      </c>
      <c r="BJ116" s="19">
        <f t="shared" si="130"/>
        <v>495.75747250000001</v>
      </c>
      <c r="BK116" s="1">
        <f t="shared" si="105"/>
        <v>585</v>
      </c>
      <c r="BL116" s="20">
        <f t="shared" si="106"/>
        <v>768787.2</v>
      </c>
      <c r="BM116">
        <f>VLOOKUP(BK116,'Hazard Weighting Functions'!$B$5:$G$1205,4,FALSE)</f>
        <v>1</v>
      </c>
      <c r="BN116">
        <f t="shared" si="131"/>
        <v>768787.2</v>
      </c>
      <c r="BO116" s="19">
        <f t="shared" si="78"/>
        <v>3885880</v>
      </c>
      <c r="BP116" s="20">
        <f t="shared" si="107"/>
        <v>474</v>
      </c>
      <c r="BQ116" s="20">
        <f t="shared" si="107"/>
        <v>364391.49118810421</v>
      </c>
      <c r="BR116" s="19">
        <f>VLOOKUP(BP116,'Hazard Weighting Functions'!$B$5:$G$1205,4,FALSE)</f>
        <v>5.6333727610000004</v>
      </c>
      <c r="BS116" s="19">
        <f t="shared" si="132"/>
        <v>2052753.1007992378</v>
      </c>
      <c r="BT116" s="19">
        <f t="shared" si="133"/>
        <v>4014351.5084666181</v>
      </c>
      <c r="BV116">
        <f>VLOOKUP(BK116,'Hazard Weighting Functions'!$B$5:$G$1205,5,FALSE)</f>
        <v>0.81630000000000003</v>
      </c>
      <c r="BW116" s="24">
        <f t="shared" si="134"/>
        <v>627560.99135999999</v>
      </c>
      <c r="BX116" s="24">
        <f t="shared" si="135"/>
        <v>3055583.8624</v>
      </c>
    </row>
    <row r="117" spans="2:76">
      <c r="B117">
        <v>376</v>
      </c>
      <c r="C117" s="36">
        <v>12.233056899374255</v>
      </c>
      <c r="E117">
        <v>376</v>
      </c>
      <c r="F117" s="36">
        <v>12.233056899374255</v>
      </c>
      <c r="H117" s="19">
        <v>376</v>
      </c>
      <c r="I117" s="36">
        <v>12.233056899374255</v>
      </c>
      <c r="K117">
        <v>1440</v>
      </c>
      <c r="L117" s="36">
        <f>1036.382292*(1628/1602)</f>
        <v>1053.2024790112359</v>
      </c>
      <c r="N117">
        <v>590</v>
      </c>
      <c r="O117" s="36">
        <v>785564.8</v>
      </c>
      <c r="Q117" s="19">
        <v>476</v>
      </c>
      <c r="R117" s="36">
        <v>371259.38930442318</v>
      </c>
      <c r="V117">
        <f t="shared" si="110"/>
        <v>376</v>
      </c>
      <c r="W117">
        <f t="shared" si="111"/>
        <v>12.233056899374255</v>
      </c>
      <c r="Y117">
        <f t="shared" si="112"/>
        <v>376</v>
      </c>
      <c r="Z117">
        <f t="shared" si="113"/>
        <v>12.233056899374255</v>
      </c>
      <c r="AA117">
        <f>VLOOKUP(Y117,'Hazard Weighting Functions'!$B$5:$G$1205,2,FALSE)</f>
        <v>7.3999999999999996E-5</v>
      </c>
      <c r="AB117">
        <f t="shared" si="114"/>
        <v>9.0524621055369477E-4</v>
      </c>
      <c r="AC117">
        <f t="shared" si="115"/>
        <v>1.7811049533176708E-3</v>
      </c>
      <c r="AD117">
        <f t="shared" si="116"/>
        <v>24.926661866968111</v>
      </c>
      <c r="AE117">
        <f>VLOOKUP(Y117,'Hazard Weighting Functions'!$B$5:$G$1205,3,FALSE)</f>
        <v>0.01</v>
      </c>
      <c r="AF117">
        <f t="shared" si="117"/>
        <v>0.12233056899374255</v>
      </c>
      <c r="AG117">
        <f t="shared" si="118"/>
        <v>0.24926661866968114</v>
      </c>
      <c r="AH117">
        <f>VLOOKUP(Y117,'Hazard Weighting Functions'!$B$5:$G$1205,5,FALSE)</f>
        <v>0</v>
      </c>
      <c r="AI117">
        <f t="shared" si="119"/>
        <v>0</v>
      </c>
      <c r="AJ117">
        <f t="shared" si="120"/>
        <v>0</v>
      </c>
      <c r="AP117" s="20">
        <f>'IEC_EN62471- Halogen non-GLS'!E167</f>
        <v>590</v>
      </c>
      <c r="AQ117" s="20">
        <f t="shared" si="121"/>
        <v>98.195599999999999</v>
      </c>
      <c r="AR117">
        <f>VLOOKUP(AP117,'Hazard Weighting Functions'!$B$5:$G$1205,3,FALSE)</f>
        <v>1E-3</v>
      </c>
      <c r="AS117">
        <f t="shared" si="122"/>
        <v>9.8195599999999994E-2</v>
      </c>
      <c r="AT117">
        <f t="shared" si="123"/>
        <v>0.49658649999999999</v>
      </c>
      <c r="AU117" s="20">
        <f t="shared" si="108"/>
        <v>590</v>
      </c>
      <c r="AV117">
        <f>O117</f>
        <v>785564.8</v>
      </c>
      <c r="AW117" s="19">
        <f>VLOOKUP(AU117,'Hazard Weighting Functions'!$B$5:$G$1205,3,FALSE)</f>
        <v>1E-3</v>
      </c>
      <c r="AX117">
        <f t="shared" si="124"/>
        <v>785.5648000000001</v>
      </c>
      <c r="AY117" s="19">
        <f t="shared" si="125"/>
        <v>3972.692</v>
      </c>
      <c r="AZ117" s="20">
        <f t="shared" si="102"/>
        <v>476</v>
      </c>
      <c r="BA117" s="20">
        <f t="shared" si="103"/>
        <v>371259.38930442318</v>
      </c>
      <c r="BB117" s="19">
        <f>VLOOKUP(AZ117,'Hazard Weighting Functions'!$B$5:$G$1205,3,FALSE)</f>
        <v>0.52836331299999995</v>
      </c>
      <c r="BC117">
        <f t="shared" si="126"/>
        <v>196159.84091524177</v>
      </c>
      <c r="BD117" s="19">
        <f t="shared" si="127"/>
        <v>380542.9163707823</v>
      </c>
      <c r="BF117" s="20">
        <f t="shared" ref="BF117:BG117" si="158">H207</f>
        <v>790</v>
      </c>
      <c r="BG117" s="20">
        <f t="shared" si="158"/>
        <v>148.55699999999999</v>
      </c>
      <c r="BH117" s="19">
        <f>VLOOKUP(BF117,'Hazard Weighting Functions'!$B$5:$G$1205,4,FALSE)</f>
        <v>0.66100000000000003</v>
      </c>
      <c r="BI117" s="19">
        <f t="shared" si="129"/>
        <v>98.196176999999992</v>
      </c>
      <c r="BJ117" s="19">
        <f t="shared" si="130"/>
        <v>486.57764250000002</v>
      </c>
      <c r="BK117" s="1">
        <f t="shared" si="105"/>
        <v>590</v>
      </c>
      <c r="BL117" s="20">
        <f t="shared" si="106"/>
        <v>785564.8</v>
      </c>
      <c r="BM117">
        <f>VLOOKUP(BK117,'Hazard Weighting Functions'!$B$5:$G$1205,4,FALSE)</f>
        <v>1</v>
      </c>
      <c r="BN117">
        <f t="shared" si="131"/>
        <v>785564.8</v>
      </c>
      <c r="BO117" s="19">
        <f t="shared" si="78"/>
        <v>3972691.9999999995</v>
      </c>
      <c r="BP117" s="20">
        <f t="shared" si="107"/>
        <v>476</v>
      </c>
      <c r="BQ117" s="20">
        <f t="shared" si="107"/>
        <v>371259.38930442318</v>
      </c>
      <c r="BR117" s="19">
        <f>VLOOKUP(BP117,'Hazard Weighting Functions'!$B$5:$G$1205,4,FALSE)</f>
        <v>5.2836331259999998</v>
      </c>
      <c r="BS117" s="19">
        <f t="shared" si="132"/>
        <v>1961598.4076673803</v>
      </c>
      <c r="BT117" s="19">
        <f t="shared" si="133"/>
        <v>3805429.1622227859</v>
      </c>
      <c r="BV117">
        <f>VLOOKUP(BK117,'Hazard Weighting Functions'!$B$5:$G$1205,5,FALSE)</f>
        <v>0.75700000000000001</v>
      </c>
      <c r="BW117" s="24">
        <f t="shared" si="134"/>
        <v>594672.55359999998</v>
      </c>
      <c r="BX117" s="24">
        <f t="shared" si="135"/>
        <v>2882582.6059999997</v>
      </c>
    </row>
    <row r="118" spans="2:76">
      <c r="B118">
        <v>378</v>
      </c>
      <c r="C118" s="36">
        <v>12.693604967593856</v>
      </c>
      <c r="E118">
        <v>378</v>
      </c>
      <c r="F118" s="36">
        <v>12.693604967593856</v>
      </c>
      <c r="H118" s="19">
        <v>378</v>
      </c>
      <c r="I118" s="36">
        <v>12.693604967593856</v>
      </c>
      <c r="K118">
        <v>1445</v>
      </c>
      <c r="L118" s="36">
        <f>1028.953932*(1628/1602)</f>
        <v>1045.6535588614231</v>
      </c>
      <c r="N118">
        <v>595</v>
      </c>
      <c r="O118" s="36">
        <v>803511.99999999988</v>
      </c>
      <c r="Q118" s="19">
        <v>478</v>
      </c>
      <c r="R118" s="36">
        <v>378136.38722450542</v>
      </c>
      <c r="V118">
        <f t="shared" si="110"/>
        <v>378</v>
      </c>
      <c r="W118">
        <f t="shared" si="111"/>
        <v>12.693604967593856</v>
      </c>
      <c r="Y118">
        <f t="shared" si="112"/>
        <v>378</v>
      </c>
      <c r="Z118">
        <f t="shared" si="113"/>
        <v>12.693604967593856</v>
      </c>
      <c r="AA118">
        <f>VLOOKUP(Y118,'Hazard Weighting Functions'!$B$5:$G$1205,2,FALSE)</f>
        <v>6.8999999999999997E-5</v>
      </c>
      <c r="AB118">
        <f t="shared" si="114"/>
        <v>8.7585874276397606E-4</v>
      </c>
      <c r="AC118">
        <f t="shared" si="115"/>
        <v>1.718809142763976E-3</v>
      </c>
      <c r="AD118">
        <f t="shared" si="116"/>
        <v>25.864704967593855</v>
      </c>
      <c r="AE118">
        <f>VLOOKUP(Y118,'Hazard Weighting Functions'!$B$5:$G$1205,3,FALSE)</f>
        <v>0.01</v>
      </c>
      <c r="AF118">
        <f t="shared" si="117"/>
        <v>0.12693604967593858</v>
      </c>
      <c r="AG118">
        <f t="shared" si="118"/>
        <v>0.25864704967593855</v>
      </c>
      <c r="AH118">
        <f>VLOOKUP(Y118,'Hazard Weighting Functions'!$B$5:$G$1205,5,FALSE)</f>
        <v>0</v>
      </c>
      <c r="AI118">
        <f t="shared" si="119"/>
        <v>0</v>
      </c>
      <c r="AJ118">
        <f t="shared" si="120"/>
        <v>5.1367289999999994E-4</v>
      </c>
      <c r="AP118" s="20">
        <f>'IEC_EN62471- Halogen non-GLS'!E168</f>
        <v>595</v>
      </c>
      <c r="AQ118" s="20">
        <f t="shared" si="121"/>
        <v>100.43900000000001</v>
      </c>
      <c r="AR118">
        <f>VLOOKUP(AP118,'Hazard Weighting Functions'!$B$5:$G$1205,3,FALSE)</f>
        <v>1E-3</v>
      </c>
      <c r="AS118">
        <f t="shared" si="122"/>
        <v>0.10043900000000001</v>
      </c>
      <c r="AT118">
        <f t="shared" si="123"/>
        <v>0.50762499999999999</v>
      </c>
      <c r="AU118" s="20">
        <f t="shared" si="108"/>
        <v>595</v>
      </c>
      <c r="AV118">
        <f>O118</f>
        <v>803511.99999999988</v>
      </c>
      <c r="AW118" s="19">
        <f>VLOOKUP(AU118,'Hazard Weighting Functions'!$B$5:$G$1205,3,FALSE)</f>
        <v>1E-3</v>
      </c>
      <c r="AX118">
        <f t="shared" si="124"/>
        <v>803.51199999999994</v>
      </c>
      <c r="AY118" s="19">
        <f t="shared" si="125"/>
        <v>4061</v>
      </c>
      <c r="AZ118" s="20">
        <f t="shared" si="102"/>
        <v>478</v>
      </c>
      <c r="BA118" s="20">
        <f t="shared" si="103"/>
        <v>378136.38722450542</v>
      </c>
      <c r="BB118" s="19">
        <f>VLOOKUP(AZ118,'Hazard Weighting Functions'!$B$5:$G$1205,3,FALSE)</f>
        <v>0.487609978</v>
      </c>
      <c r="BC118">
        <f t="shared" si="126"/>
        <v>184383.07545554056</v>
      </c>
      <c r="BD118" s="19">
        <f t="shared" si="127"/>
        <v>357606.43545554054</v>
      </c>
      <c r="BF118" s="20">
        <f t="shared" ref="BF118:BG118" si="159">H208</f>
        <v>795</v>
      </c>
      <c r="BG118" s="20">
        <f t="shared" si="159"/>
        <v>149.28</v>
      </c>
      <c r="BH118" s="19">
        <f>VLOOKUP(BF118,'Hazard Weighting Functions'!$B$5:$G$1205,4,FALSE)</f>
        <v>0.64600000000000002</v>
      </c>
      <c r="BI118" s="19">
        <f t="shared" si="129"/>
        <v>96.434880000000007</v>
      </c>
      <c r="BJ118" s="19">
        <f t="shared" si="130"/>
        <v>476.45335499999999</v>
      </c>
      <c r="BK118" s="1">
        <f t="shared" si="105"/>
        <v>595</v>
      </c>
      <c r="BL118" s="20">
        <f t="shared" si="106"/>
        <v>803511.99999999988</v>
      </c>
      <c r="BM118">
        <f>VLOOKUP(BK118,'Hazard Weighting Functions'!$B$5:$G$1205,4,FALSE)</f>
        <v>1</v>
      </c>
      <c r="BN118">
        <f t="shared" si="131"/>
        <v>803511.99999999988</v>
      </c>
      <c r="BO118" s="19">
        <f t="shared" si="78"/>
        <v>4061000</v>
      </c>
      <c r="BP118" s="20">
        <f t="shared" si="107"/>
        <v>478</v>
      </c>
      <c r="BQ118" s="20">
        <f t="shared" si="107"/>
        <v>378136.38722450542</v>
      </c>
      <c r="BR118" s="19">
        <f>VLOOKUP(BP118,'Hazard Weighting Functions'!$B$5:$G$1205,4,FALSE)</f>
        <v>4.8760997799999997</v>
      </c>
      <c r="BS118" s="19">
        <f t="shared" si="132"/>
        <v>1843830.7545554056</v>
      </c>
      <c r="BT118" s="19">
        <f t="shared" si="133"/>
        <v>3576064.3545554057</v>
      </c>
      <c r="BV118">
        <f>VLOOKUP(BK118,'Hazard Weighting Functions'!$B$5:$G$1205,5,FALSE)</f>
        <v>0.69489999999999996</v>
      </c>
      <c r="BW118" s="24">
        <f t="shared" si="134"/>
        <v>558360.48879999993</v>
      </c>
      <c r="BX118" s="24">
        <f t="shared" si="135"/>
        <v>2690852.0419999999</v>
      </c>
    </row>
    <row r="119" spans="2:76">
      <c r="B119">
        <v>380</v>
      </c>
      <c r="C119" s="36">
        <v>13.171099999999999</v>
      </c>
      <c r="E119">
        <v>380</v>
      </c>
      <c r="F119" s="36">
        <v>13.171099999999999</v>
      </c>
      <c r="H119" s="19">
        <v>380</v>
      </c>
      <c r="I119" s="36">
        <v>13.171099999999999</v>
      </c>
      <c r="K119">
        <v>1450</v>
      </c>
      <c r="L119" s="36">
        <f>1021.565124*(1628/1602)</f>
        <v>1038.1448326292134</v>
      </c>
      <c r="N119">
        <v>600</v>
      </c>
      <c r="O119" s="36">
        <v>820888</v>
      </c>
      <c r="Q119" s="19">
        <v>480</v>
      </c>
      <c r="R119" s="36">
        <v>384940.79999999999</v>
      </c>
      <c r="V119">
        <f t="shared" si="110"/>
        <v>380</v>
      </c>
      <c r="W119">
        <f t="shared" si="111"/>
        <v>13.171099999999999</v>
      </c>
      <c r="Y119">
        <f t="shared" si="112"/>
        <v>380</v>
      </c>
      <c r="Z119">
        <f t="shared" si="113"/>
        <v>13.171099999999999</v>
      </c>
      <c r="AA119">
        <f>VLOOKUP(Y119,'Hazard Weighting Functions'!$B$5:$G$1205,2,FALSE)</f>
        <v>6.3999999999999997E-5</v>
      </c>
      <c r="AB119">
        <f t="shared" si="114"/>
        <v>8.4295039999999989E-4</v>
      </c>
      <c r="AC119">
        <f t="shared" si="115"/>
        <v>1.6495172706599674E-3</v>
      </c>
      <c r="AD119">
        <f t="shared" si="116"/>
        <v>26.841724926440129</v>
      </c>
      <c r="AE119">
        <f>VLOOKUP(Y119,'Hazard Weighting Functions'!$B$5:$G$1205,3,FALSE)</f>
        <v>0.01</v>
      </c>
      <c r="AF119">
        <f t="shared" si="117"/>
        <v>0.13171099999999999</v>
      </c>
      <c r="AG119">
        <f t="shared" si="118"/>
        <v>0.28354383675738204</v>
      </c>
      <c r="AH119">
        <f>VLOOKUP(Y119,'Hazard Weighting Functions'!$B$5:$G$1205,5,FALSE)</f>
        <v>3.8999999999999999E-5</v>
      </c>
      <c r="AI119">
        <f t="shared" si="119"/>
        <v>5.1367289999999994E-4</v>
      </c>
      <c r="AJ119">
        <f t="shared" si="120"/>
        <v>1.1677168772026058E-3</v>
      </c>
      <c r="AM119">
        <f>0.5*(V120-V119)*(W119+W120)</f>
        <v>26.841724926440129</v>
      </c>
      <c r="AP119" s="20">
        <f>'IEC_EN62471- Halogen non-GLS'!E169</f>
        <v>600</v>
      </c>
      <c r="AQ119" s="20">
        <f t="shared" si="121"/>
        <v>102.611</v>
      </c>
      <c r="AR119">
        <f>VLOOKUP(AP119,'Hazard Weighting Functions'!$B$5:$G$1205,3,FALSE)</f>
        <v>1E-3</v>
      </c>
      <c r="AS119">
        <f t="shared" si="122"/>
        <v>0.10261100000000001</v>
      </c>
      <c r="AT119">
        <f t="shared" si="123"/>
        <v>0.51817250000000004</v>
      </c>
      <c r="AU119" s="20">
        <f t="shared" si="108"/>
        <v>600</v>
      </c>
      <c r="AV119">
        <f>O119</f>
        <v>820888</v>
      </c>
      <c r="AW119" s="19">
        <f>VLOOKUP(AU119,'Hazard Weighting Functions'!$B$5:$G$1205,3,FALSE)</f>
        <v>1E-3</v>
      </c>
      <c r="AX119">
        <f t="shared" si="124"/>
        <v>820.88800000000003</v>
      </c>
      <c r="AY119" s="19">
        <f t="shared" si="125"/>
        <v>4145.38</v>
      </c>
      <c r="AZ119" s="20">
        <f t="shared" si="102"/>
        <v>480</v>
      </c>
      <c r="BA119" s="20">
        <f t="shared" si="103"/>
        <v>384940.79999999999</v>
      </c>
      <c r="BB119" s="19">
        <f>VLOOKUP(AZ119,'Hazard Weighting Functions'!$B$5:$G$1205,3,FALSE)</f>
        <v>0.45</v>
      </c>
      <c r="BC119">
        <f t="shared" si="126"/>
        <v>173223.36</v>
      </c>
      <c r="BD119" s="19">
        <f t="shared" si="127"/>
        <v>835320.8</v>
      </c>
      <c r="BF119" s="20">
        <f t="shared" ref="BF119:BG119" si="160">H209</f>
        <v>800</v>
      </c>
      <c r="BG119" s="20">
        <f t="shared" si="160"/>
        <v>149.202</v>
      </c>
      <c r="BH119" s="19">
        <f>VLOOKUP(BF119,'Hazard Weighting Functions'!$B$5:$G$1205,4,FALSE)</f>
        <v>0.63100000000000001</v>
      </c>
      <c r="BI119" s="19">
        <f t="shared" si="129"/>
        <v>94.146462</v>
      </c>
      <c r="BJ119" s="19">
        <f t="shared" si="130"/>
        <v>465.92517250000003</v>
      </c>
      <c r="BK119" s="1">
        <f t="shared" si="105"/>
        <v>600</v>
      </c>
      <c r="BL119" s="20">
        <f t="shared" si="106"/>
        <v>820888</v>
      </c>
      <c r="BM119">
        <f>VLOOKUP(BK119,'Hazard Weighting Functions'!$B$5:$G$1205,4,FALSE)</f>
        <v>1</v>
      </c>
      <c r="BN119">
        <f t="shared" si="131"/>
        <v>820888</v>
      </c>
      <c r="BO119" s="19">
        <f t="shared" si="78"/>
        <v>4145380</v>
      </c>
      <c r="BP119" s="20">
        <f t="shared" si="107"/>
        <v>480</v>
      </c>
      <c r="BQ119" s="20">
        <f t="shared" si="107"/>
        <v>384940.79999999999</v>
      </c>
      <c r="BR119" s="19">
        <f>VLOOKUP(BP119,'Hazard Weighting Functions'!$B$5:$G$1205,4,FALSE)</f>
        <v>4.5</v>
      </c>
      <c r="BS119" s="19">
        <f t="shared" si="132"/>
        <v>1732233.5999999999</v>
      </c>
      <c r="BT119" s="19">
        <f t="shared" si="133"/>
        <v>8353208</v>
      </c>
      <c r="BV119">
        <f>VLOOKUP(BK119,'Hazard Weighting Functions'!$B$5:$G$1205,5,FALSE)</f>
        <v>0.63100000000000001</v>
      </c>
      <c r="BW119" s="24">
        <f t="shared" si="134"/>
        <v>517980.32799999998</v>
      </c>
      <c r="BX119" s="24">
        <f t="shared" si="135"/>
        <v>2481353.9079999998</v>
      </c>
    </row>
    <row r="120" spans="2:76">
      <c r="B120">
        <v>382</v>
      </c>
      <c r="C120" s="36">
        <v>13.670624926440128</v>
      </c>
      <c r="E120">
        <v>382</v>
      </c>
      <c r="F120" s="36">
        <v>13.670624926440128</v>
      </c>
      <c r="H120" s="19">
        <v>382</v>
      </c>
      <c r="I120" s="36">
        <v>13.670624926440128</v>
      </c>
      <c r="K120">
        <v>1455</v>
      </c>
      <c r="L120" s="36">
        <f>1014.21216*(1628/1602)</f>
        <v>1030.6725321348315</v>
      </c>
      <c r="N120">
        <v>605</v>
      </c>
      <c r="O120" s="36">
        <v>837264</v>
      </c>
      <c r="Q120" s="20">
        <v>485</v>
      </c>
      <c r="R120" s="37">
        <v>402262.4</v>
      </c>
      <c r="V120">
        <f t="shared" si="110"/>
        <v>382</v>
      </c>
      <c r="W120">
        <f t="shared" si="111"/>
        <v>13.670624926440128</v>
      </c>
      <c r="Y120">
        <f t="shared" si="112"/>
        <v>382</v>
      </c>
      <c r="Z120">
        <f t="shared" si="113"/>
        <v>13.670624926440128</v>
      </c>
      <c r="AA120">
        <f>VLOOKUP(Y120,'Hazard Weighting Functions'!$B$5:$G$1205,2,FALSE)</f>
        <v>5.8999999999999998E-5</v>
      </c>
      <c r="AB120">
        <f t="shared" si="114"/>
        <v>8.0656687065996751E-4</v>
      </c>
      <c r="AC120">
        <f t="shared" si="115"/>
        <v>1.5863958267568758E-3</v>
      </c>
      <c r="AD120">
        <f t="shared" si="116"/>
        <v>27.849333219111188</v>
      </c>
      <c r="AE120">
        <f>VLOOKUP(Y120,'Hazard Weighting Functions'!$B$5:$G$1205,3,FALSE)</f>
        <v>1.1106503E-2</v>
      </c>
      <c r="AF120">
        <f t="shared" si="117"/>
        <v>0.15183283675738207</v>
      </c>
      <c r="AG120">
        <f t="shared" si="118"/>
        <v>0.32673345635783668</v>
      </c>
      <c r="AH120">
        <f>VLOOKUP(Y120,'Hazard Weighting Functions'!$B$5:$G$1205,5,FALSE)</f>
        <v>4.784301966603079E-5</v>
      </c>
      <c r="AI120">
        <f t="shared" si="119"/>
        <v>6.5404397720260582E-4</v>
      </c>
      <c r="AJ120">
        <f t="shared" si="120"/>
        <v>1.468715117595923E-3</v>
      </c>
      <c r="AM120">
        <f t="shared" ref="AM120:AM157" si="161">0.5*(V121-V120)*(W120+W121)</f>
        <v>27.849333219111188</v>
      </c>
      <c r="AP120" s="20">
        <f>'IEC_EN62471- Halogen non-GLS'!E170</f>
        <v>605</v>
      </c>
      <c r="AQ120" s="20">
        <f t="shared" si="121"/>
        <v>104.658</v>
      </c>
      <c r="AR120">
        <f>VLOOKUP(AP120,'Hazard Weighting Functions'!$B$5:$G$1205,3,FALSE)</f>
        <v>1E-3</v>
      </c>
      <c r="AS120">
        <f t="shared" si="122"/>
        <v>0.104658</v>
      </c>
      <c r="AT120">
        <f t="shared" si="123"/>
        <v>0.52799250000000009</v>
      </c>
      <c r="AU120" s="20">
        <f t="shared" si="108"/>
        <v>605</v>
      </c>
      <c r="AV120">
        <f>O120</f>
        <v>837264</v>
      </c>
      <c r="AW120" s="19">
        <f>VLOOKUP(AU120,'Hazard Weighting Functions'!$B$5:$G$1205,3,FALSE)</f>
        <v>1E-3</v>
      </c>
      <c r="AX120">
        <f t="shared" si="124"/>
        <v>837.26400000000001</v>
      </c>
      <c r="AY120" s="19">
        <f t="shared" si="125"/>
        <v>4223.9400000000005</v>
      </c>
      <c r="AZ120" s="20">
        <f t="shared" si="102"/>
        <v>485</v>
      </c>
      <c r="BA120" s="20">
        <f t="shared" si="103"/>
        <v>402262.4</v>
      </c>
      <c r="BB120" s="19">
        <f>VLOOKUP(AZ120,'Hazard Weighting Functions'!$B$5:$G$1205,3,FALSE)</f>
        <v>0.4</v>
      </c>
      <c r="BC120">
        <f t="shared" si="126"/>
        <v>160904.96000000002</v>
      </c>
      <c r="BD120" s="19">
        <f t="shared" si="127"/>
        <v>634312.68000000005</v>
      </c>
      <c r="BF120" s="20">
        <f t="shared" ref="BF120:BG120" si="162">H210</f>
        <v>805</v>
      </c>
      <c r="BG120" s="20">
        <f t="shared" si="162"/>
        <v>149.47100000000003</v>
      </c>
      <c r="BH120" s="19">
        <f>VLOOKUP(BF120,'Hazard Weighting Functions'!$B$5:$G$1205,4,FALSE)</f>
        <v>0.61699999999999999</v>
      </c>
      <c r="BI120" s="19">
        <f t="shared" si="129"/>
        <v>92.223607000000015</v>
      </c>
      <c r="BJ120" s="19">
        <f t="shared" si="130"/>
        <v>456.23779750000006</v>
      </c>
      <c r="BK120" s="1">
        <f t="shared" si="105"/>
        <v>605</v>
      </c>
      <c r="BL120" s="20">
        <f t="shared" si="106"/>
        <v>837264</v>
      </c>
      <c r="BM120">
        <f>VLOOKUP(BK120,'Hazard Weighting Functions'!$B$5:$G$1205,4,FALSE)</f>
        <v>1</v>
      </c>
      <c r="BN120">
        <f t="shared" si="131"/>
        <v>837264</v>
      </c>
      <c r="BO120" s="19">
        <f t="shared" si="78"/>
        <v>4223940</v>
      </c>
      <c r="BP120" s="20">
        <f t="shared" si="107"/>
        <v>485</v>
      </c>
      <c r="BQ120" s="20">
        <f t="shared" si="107"/>
        <v>402262.4</v>
      </c>
      <c r="BR120" s="19">
        <f>VLOOKUP(BP120,'Hazard Weighting Functions'!$B$5:$G$1205,4,FALSE)</f>
        <v>4</v>
      </c>
      <c r="BS120" s="19">
        <f t="shared" si="132"/>
        <v>1609049.6</v>
      </c>
      <c r="BT120" s="19">
        <f t="shared" si="133"/>
        <v>6343126.8000000007</v>
      </c>
      <c r="BV120">
        <f>VLOOKUP(BK120,'Hazard Weighting Functions'!$B$5:$G$1205,5,FALSE)</f>
        <v>0.56679999999999997</v>
      </c>
      <c r="BW120" s="24">
        <f t="shared" si="134"/>
        <v>474561.2352</v>
      </c>
      <c r="BX120" s="24">
        <f t="shared" si="135"/>
        <v>2258185.4279999998</v>
      </c>
    </row>
    <row r="121" spans="2:76">
      <c r="B121">
        <v>384</v>
      </c>
      <c r="C121" s="36">
        <v>14.178708292671061</v>
      </c>
      <c r="E121">
        <v>384</v>
      </c>
      <c r="F121" s="36">
        <v>14.178708292671061</v>
      </c>
      <c r="H121" s="19">
        <v>384</v>
      </c>
      <c r="I121" s="36">
        <v>14.178708292671061</v>
      </c>
      <c r="K121">
        <v>1460</v>
      </c>
      <c r="L121" s="36">
        <f>1006.897512*(1628/1602)</f>
        <v>1023.2391694981274</v>
      </c>
      <c r="N121">
        <v>610</v>
      </c>
      <c r="O121" s="36">
        <v>852312</v>
      </c>
      <c r="Q121" s="20">
        <v>490</v>
      </c>
      <c r="R121" s="37">
        <v>421909.6</v>
      </c>
      <c r="V121">
        <f t="shared" si="110"/>
        <v>384</v>
      </c>
      <c r="W121">
        <f t="shared" si="111"/>
        <v>14.178708292671061</v>
      </c>
      <c r="Y121">
        <f t="shared" si="112"/>
        <v>384</v>
      </c>
      <c r="Z121">
        <f t="shared" si="113"/>
        <v>14.178708292671061</v>
      </c>
      <c r="AA121">
        <f>VLOOKUP(Y121,'Hazard Weighting Functions'!$B$5:$G$1205,2,FALSE)</f>
        <v>5.5000000000000002E-5</v>
      </c>
      <c r="AB121">
        <f t="shared" si="114"/>
        <v>7.7982895609690834E-4</v>
      </c>
      <c r="AC121">
        <f t="shared" si="115"/>
        <v>1.5284083422874833E-3</v>
      </c>
      <c r="AD121">
        <f t="shared" si="116"/>
        <v>28.856735472878412</v>
      </c>
      <c r="AE121">
        <f>VLOOKUP(Y121,'Hazard Weighting Functions'!$B$5:$G$1205,3,FALSE)</f>
        <v>1.2335441000000001E-2</v>
      </c>
      <c r="AF121">
        <f t="shared" si="117"/>
        <v>0.17490061960045461</v>
      </c>
      <c r="AG121">
        <f t="shared" si="118"/>
        <v>0.39237614151327882</v>
      </c>
      <c r="AH121">
        <f>VLOOKUP(Y121,'Hazard Weighting Functions'!$B$5:$G$1205,5,FALSE)</f>
        <v>5.7457359554707719E-5</v>
      </c>
      <c r="AI121">
        <f t="shared" si="119"/>
        <v>8.1467114039331719E-4</v>
      </c>
      <c r="AJ121">
        <f t="shared" si="120"/>
        <v>1.8763810033388902E-3</v>
      </c>
      <c r="AM121">
        <f t="shared" si="161"/>
        <v>28.856735472878412</v>
      </c>
      <c r="AP121" s="20">
        <f>'IEC_EN62471- Halogen non-GLS'!E171</f>
        <v>610</v>
      </c>
      <c r="AQ121" s="20">
        <f t="shared" si="121"/>
        <v>106.53900000000002</v>
      </c>
      <c r="AR121">
        <f>VLOOKUP(AP121,'Hazard Weighting Functions'!$B$5:$G$1205,3,FALSE)</f>
        <v>1E-3</v>
      </c>
      <c r="AS121">
        <f t="shared" si="122"/>
        <v>0.10653900000000002</v>
      </c>
      <c r="AT121">
        <f t="shared" si="123"/>
        <v>0.53780500000000009</v>
      </c>
      <c r="AU121" s="20">
        <f t="shared" si="108"/>
        <v>610</v>
      </c>
      <c r="AV121">
        <f>O121</f>
        <v>852312</v>
      </c>
      <c r="AW121" s="19">
        <f>VLOOKUP(AU121,'Hazard Weighting Functions'!$B$5:$G$1205,3,FALSE)</f>
        <v>1E-3</v>
      </c>
      <c r="AX121">
        <f t="shared" si="124"/>
        <v>852.31200000000001</v>
      </c>
      <c r="AY121" s="19">
        <f t="shared" si="125"/>
        <v>4302.4400000000005</v>
      </c>
      <c r="AZ121" s="20">
        <f t="shared" si="102"/>
        <v>490</v>
      </c>
      <c r="BA121" s="20">
        <f t="shared" si="103"/>
        <v>421909.6</v>
      </c>
      <c r="BB121" s="19">
        <f>VLOOKUP(AZ121,'Hazard Weighting Functions'!$B$5:$G$1205,3,FALSE)</f>
        <v>0.22</v>
      </c>
      <c r="BC121">
        <f t="shared" si="126"/>
        <v>92820.111999999994</v>
      </c>
      <c r="BD121" s="19">
        <f t="shared" si="127"/>
        <v>407951.08</v>
      </c>
      <c r="BF121" s="20">
        <f t="shared" ref="BF121:BG121" si="163">H211</f>
        <v>810</v>
      </c>
      <c r="BG121" s="20">
        <f t="shared" si="163"/>
        <v>149.70400000000001</v>
      </c>
      <c r="BH121" s="19">
        <f>VLOOKUP(BF121,'Hazard Weighting Functions'!$B$5:$G$1205,4,FALSE)</f>
        <v>0.60299999999999998</v>
      </c>
      <c r="BI121" s="19">
        <f t="shared" si="129"/>
        <v>90.271512000000001</v>
      </c>
      <c r="BJ121" s="19">
        <f t="shared" si="130"/>
        <v>446.40652999999998</v>
      </c>
      <c r="BK121" s="1">
        <f t="shared" si="105"/>
        <v>610</v>
      </c>
      <c r="BL121" s="20">
        <f t="shared" si="106"/>
        <v>852312</v>
      </c>
      <c r="BM121">
        <f>VLOOKUP(BK121,'Hazard Weighting Functions'!$B$5:$G$1205,4,FALSE)</f>
        <v>1</v>
      </c>
      <c r="BN121">
        <f t="shared" si="131"/>
        <v>852312</v>
      </c>
      <c r="BO121" s="19">
        <f t="shared" si="78"/>
        <v>4302440</v>
      </c>
      <c r="BP121" s="20">
        <f t="shared" si="107"/>
        <v>490</v>
      </c>
      <c r="BQ121" s="20">
        <f t="shared" si="107"/>
        <v>421909.6</v>
      </c>
      <c r="BR121" s="19">
        <f>VLOOKUP(BP121,'Hazard Weighting Functions'!$B$5:$G$1205,4,FALSE)</f>
        <v>2.2000000000000002</v>
      </c>
      <c r="BS121" s="19">
        <f t="shared" si="132"/>
        <v>928201.12</v>
      </c>
      <c r="BT121" s="19">
        <f t="shared" si="133"/>
        <v>4079510.8000000003</v>
      </c>
      <c r="BV121">
        <f>VLOOKUP(BK121,'Hazard Weighting Functions'!$B$5:$G$1205,5,FALSE)</f>
        <v>0.503</v>
      </c>
      <c r="BW121" s="24">
        <f t="shared" si="134"/>
        <v>428712.93599999999</v>
      </c>
      <c r="BX121" s="24">
        <f t="shared" si="135"/>
        <v>2029918.7319999998</v>
      </c>
    </row>
    <row r="122" spans="2:76">
      <c r="B122">
        <v>386</v>
      </c>
      <c r="C122" s="36">
        <v>14.678027180207351</v>
      </c>
      <c r="E122">
        <v>386</v>
      </c>
      <c r="F122" s="36">
        <v>14.678027180207351</v>
      </c>
      <c r="H122" s="19">
        <v>386</v>
      </c>
      <c r="I122" s="36">
        <v>14.678027180207351</v>
      </c>
      <c r="K122">
        <v>1465</v>
      </c>
      <c r="L122" s="36">
        <f>999.62118*(1628/1602)</f>
        <v>1015.8447447191012</v>
      </c>
      <c r="N122">
        <v>615</v>
      </c>
      <c r="O122" s="36">
        <v>868664</v>
      </c>
      <c r="Q122" s="20">
        <v>495</v>
      </c>
      <c r="R122" s="37">
        <v>439752</v>
      </c>
      <c r="V122">
        <f t="shared" si="110"/>
        <v>386</v>
      </c>
      <c r="W122">
        <f t="shared" si="111"/>
        <v>14.678027180207351</v>
      </c>
      <c r="Y122">
        <f t="shared" si="112"/>
        <v>386</v>
      </c>
      <c r="Z122">
        <f t="shared" si="113"/>
        <v>14.678027180207351</v>
      </c>
      <c r="AA122">
        <f>VLOOKUP(Y122,'Hazard Weighting Functions'!$B$5:$G$1205,2,FALSE)</f>
        <v>5.1E-5</v>
      </c>
      <c r="AB122">
        <f t="shared" si="114"/>
        <v>7.4857938619057494E-4</v>
      </c>
      <c r="AC122">
        <f t="shared" si="115"/>
        <v>1.4615394331616723E-3</v>
      </c>
      <c r="AD122">
        <f t="shared" si="116"/>
        <v>29.847389881720062</v>
      </c>
      <c r="AE122">
        <f>VLOOKUP(Y122,'Hazard Weighting Functions'!$B$5:$G$1205,3,FALSE)</f>
        <v>1.48164E-2</v>
      </c>
      <c r="AF122">
        <f t="shared" si="117"/>
        <v>0.21747552191282421</v>
      </c>
      <c r="AG122">
        <f t="shared" si="118"/>
        <v>0.50942565290192054</v>
      </c>
      <c r="AH122">
        <f>VLOOKUP(Y122,'Hazard Weighting Functions'!$B$5:$G$1205,5,FALSE)</f>
        <v>7.2333280890584555E-5</v>
      </c>
      <c r="AI122">
        <f t="shared" si="119"/>
        <v>1.0617098629455732E-3</v>
      </c>
      <c r="AJ122">
        <f t="shared" si="120"/>
        <v>2.4845181492858803E-3</v>
      </c>
      <c r="AM122">
        <f t="shared" si="161"/>
        <v>29.847389881720062</v>
      </c>
      <c r="AP122" s="20">
        <f>'IEC_EN62471- Halogen non-GLS'!E172</f>
        <v>615</v>
      </c>
      <c r="AQ122" s="20">
        <f t="shared" si="121"/>
        <v>108.583</v>
      </c>
      <c r="AR122">
        <f>VLOOKUP(AP122,'Hazard Weighting Functions'!$B$5:$G$1205,3,FALSE)</f>
        <v>1E-3</v>
      </c>
      <c r="AS122">
        <f t="shared" si="122"/>
        <v>0.108583</v>
      </c>
      <c r="AT122">
        <f t="shared" si="123"/>
        <v>0.54761750000000009</v>
      </c>
      <c r="AU122" s="20">
        <f t="shared" si="108"/>
        <v>615</v>
      </c>
      <c r="AV122">
        <f>O122</f>
        <v>868664</v>
      </c>
      <c r="AW122" s="19">
        <f>VLOOKUP(AU122,'Hazard Weighting Functions'!$B$5:$G$1205,3,FALSE)</f>
        <v>1E-3</v>
      </c>
      <c r="AX122">
        <f t="shared" si="124"/>
        <v>868.66399999999999</v>
      </c>
      <c r="AY122" s="19">
        <f t="shared" si="125"/>
        <v>4380.9399999999996</v>
      </c>
      <c r="AZ122" s="20">
        <f t="shared" si="102"/>
        <v>495</v>
      </c>
      <c r="BA122" s="20">
        <f t="shared" si="103"/>
        <v>439752</v>
      </c>
      <c r="BB122" s="19">
        <f>VLOOKUP(AZ122,'Hazard Weighting Functions'!$B$5:$G$1205,3,FALSE)</f>
        <v>0.16</v>
      </c>
      <c r="BC122">
        <f t="shared" si="126"/>
        <v>70360.320000000007</v>
      </c>
      <c r="BD122" s="19">
        <f t="shared" si="127"/>
        <v>290368.40000000002</v>
      </c>
      <c r="BF122" s="20">
        <f t="shared" ref="BF122:BG122" si="164">H212</f>
        <v>815</v>
      </c>
      <c r="BG122" s="20">
        <f t="shared" si="164"/>
        <v>149.9</v>
      </c>
      <c r="BH122" s="19">
        <f>VLOOKUP(BF122,'Hazard Weighting Functions'!$B$5:$G$1205,4,FALSE)</f>
        <v>0.58899999999999997</v>
      </c>
      <c r="BI122" s="19">
        <f t="shared" si="129"/>
        <v>88.2911</v>
      </c>
      <c r="BJ122" s="19">
        <f t="shared" si="130"/>
        <v>436.43900000000002</v>
      </c>
      <c r="BK122" s="1">
        <f t="shared" si="105"/>
        <v>615</v>
      </c>
      <c r="BL122" s="20">
        <f t="shared" si="106"/>
        <v>868664</v>
      </c>
      <c r="BM122">
        <f>VLOOKUP(BK122,'Hazard Weighting Functions'!$B$5:$G$1205,4,FALSE)</f>
        <v>1</v>
      </c>
      <c r="BN122">
        <f t="shared" si="131"/>
        <v>868664</v>
      </c>
      <c r="BO122" s="19">
        <f t="shared" si="78"/>
        <v>4380940</v>
      </c>
      <c r="BP122" s="20">
        <f t="shared" si="107"/>
        <v>495</v>
      </c>
      <c r="BQ122" s="20">
        <f t="shared" si="107"/>
        <v>439752</v>
      </c>
      <c r="BR122" s="19">
        <f>VLOOKUP(BP122,'Hazard Weighting Functions'!$B$5:$G$1205,4,FALSE)</f>
        <v>1.6</v>
      </c>
      <c r="BS122" s="19">
        <f t="shared" si="132"/>
        <v>703603.20000000007</v>
      </c>
      <c r="BT122" s="19">
        <f t="shared" si="133"/>
        <v>2903684</v>
      </c>
      <c r="BV122">
        <f>VLOOKUP(BK122,'Hazard Weighting Functions'!$B$5:$G$1205,5,FALSE)</f>
        <v>0.44119999999999998</v>
      </c>
      <c r="BW122" s="24">
        <f t="shared" si="134"/>
        <v>383254.55679999996</v>
      </c>
      <c r="BX122" s="24">
        <f t="shared" si="135"/>
        <v>1799872.0720000002</v>
      </c>
    </row>
    <row r="123" spans="2:76">
      <c r="B123">
        <v>388</v>
      </c>
      <c r="C123" s="36">
        <v>15.169362701512709</v>
      </c>
      <c r="E123">
        <v>388</v>
      </c>
      <c r="F123" s="36">
        <v>15.169362701512709</v>
      </c>
      <c r="H123" s="19">
        <v>388</v>
      </c>
      <c r="I123" s="36">
        <v>15.169362701512709</v>
      </c>
      <c r="K123">
        <v>1470</v>
      </c>
      <c r="L123" s="36">
        <f>992.383164*(1628/1602)</f>
        <v>1008.489257797753</v>
      </c>
      <c r="N123">
        <v>620</v>
      </c>
      <c r="O123" s="36">
        <v>883712</v>
      </c>
      <c r="Q123" s="20">
        <v>500</v>
      </c>
      <c r="R123" s="37">
        <v>457870.4</v>
      </c>
      <c r="V123">
        <f t="shared" si="110"/>
        <v>388</v>
      </c>
      <c r="W123">
        <f t="shared" si="111"/>
        <v>15.169362701512709</v>
      </c>
      <c r="Y123">
        <f t="shared" si="112"/>
        <v>388</v>
      </c>
      <c r="Z123">
        <f t="shared" si="113"/>
        <v>15.169362701512709</v>
      </c>
      <c r="AA123">
        <f>VLOOKUP(Y123,'Hazard Weighting Functions'!$B$5:$G$1205,2,FALSE)</f>
        <v>4.6999999999999997E-5</v>
      </c>
      <c r="AB123">
        <f t="shared" si="114"/>
        <v>7.1296004697109726E-4</v>
      </c>
      <c r="AC123">
        <f t="shared" si="115"/>
        <v>1.4025104469710973E-3</v>
      </c>
      <c r="AD123">
        <f t="shared" si="116"/>
        <v>30.840962701512709</v>
      </c>
      <c r="AE123">
        <f>VLOOKUP(Y123,'Hazard Weighting Functions'!$B$5:$G$1205,3,FALSE)</f>
        <v>1.9246038E-2</v>
      </c>
      <c r="AF123">
        <f t="shared" si="117"/>
        <v>0.29195013098909628</v>
      </c>
      <c r="AG123">
        <f t="shared" si="118"/>
        <v>0.68374013098909636</v>
      </c>
      <c r="AH123">
        <f>VLOOKUP(Y123,'Hazard Weighting Functions'!$B$5:$G$1205,5,FALSE)</f>
        <v>9.3794862337784476E-5</v>
      </c>
      <c r="AI123">
        <f t="shared" si="119"/>
        <v>1.4228082863403069E-3</v>
      </c>
      <c r="AJ123">
        <f t="shared" si="120"/>
        <v>3.3034002863403071E-3</v>
      </c>
      <c r="AM123">
        <f t="shared" si="161"/>
        <v>30.840962701512709</v>
      </c>
      <c r="AP123" s="20">
        <f>'IEC_EN62471- Halogen non-GLS'!E173</f>
        <v>620</v>
      </c>
      <c r="AQ123" s="20">
        <f t="shared" si="121"/>
        <v>110.46400000000001</v>
      </c>
      <c r="AR123">
        <f>VLOOKUP(AP123,'Hazard Weighting Functions'!$B$5:$G$1205,3,FALSE)</f>
        <v>1E-3</v>
      </c>
      <c r="AS123">
        <f t="shared" si="122"/>
        <v>0.11046400000000002</v>
      </c>
      <c r="AT123">
        <f t="shared" si="123"/>
        <v>0.55702250000000009</v>
      </c>
      <c r="AU123" s="20">
        <f t="shared" si="108"/>
        <v>620</v>
      </c>
      <c r="AV123">
        <f>O123</f>
        <v>883712</v>
      </c>
      <c r="AW123" s="19">
        <f>VLOOKUP(AU123,'Hazard Weighting Functions'!$B$5:$G$1205,3,FALSE)</f>
        <v>1E-3</v>
      </c>
      <c r="AX123">
        <f t="shared" si="124"/>
        <v>883.71199999999999</v>
      </c>
      <c r="AY123" s="19">
        <f t="shared" si="125"/>
        <v>4456.18</v>
      </c>
      <c r="AZ123" s="20">
        <f t="shared" si="102"/>
        <v>500</v>
      </c>
      <c r="BA123" s="20">
        <f t="shared" si="103"/>
        <v>457870.4</v>
      </c>
      <c r="BB123" s="19">
        <f>VLOOKUP(AZ123,'Hazard Weighting Functions'!$B$5:$G$1205,3,FALSE)</f>
        <v>0.1</v>
      </c>
      <c r="BC123">
        <f t="shared" si="126"/>
        <v>45787.040000000008</v>
      </c>
      <c r="BD123" s="19">
        <f t="shared" si="127"/>
        <v>208613.48</v>
      </c>
      <c r="BF123" s="20">
        <f t="shared" ref="BF123:BG123" si="165">H213</f>
        <v>820</v>
      </c>
      <c r="BG123" s="20">
        <f t="shared" si="165"/>
        <v>150.06</v>
      </c>
      <c r="BH123" s="19">
        <f>VLOOKUP(BF123,'Hazard Weighting Functions'!$B$5:$G$1205,4,FALSE)</f>
        <v>0.57499999999999996</v>
      </c>
      <c r="BI123" s="19">
        <f t="shared" si="129"/>
        <v>86.284499999999994</v>
      </c>
      <c r="BJ123" s="19">
        <f t="shared" si="130"/>
        <v>426.89679999999998</v>
      </c>
      <c r="BK123" s="1">
        <f t="shared" si="105"/>
        <v>620</v>
      </c>
      <c r="BL123" s="20">
        <f t="shared" si="106"/>
        <v>883712</v>
      </c>
      <c r="BM123">
        <f>VLOOKUP(BK123,'Hazard Weighting Functions'!$B$5:$G$1205,4,FALSE)</f>
        <v>1</v>
      </c>
      <c r="BN123">
        <f t="shared" si="131"/>
        <v>883712</v>
      </c>
      <c r="BO123" s="19">
        <f t="shared" si="78"/>
        <v>4456180</v>
      </c>
      <c r="BP123" s="20">
        <f t="shared" si="107"/>
        <v>500</v>
      </c>
      <c r="BQ123" s="20">
        <f t="shared" si="107"/>
        <v>457870.4</v>
      </c>
      <c r="BR123" s="19">
        <f>VLOOKUP(BP123,'Hazard Weighting Functions'!$B$5:$G$1205,4,FALSE)</f>
        <v>1</v>
      </c>
      <c r="BS123" s="19">
        <f t="shared" si="132"/>
        <v>457870.4</v>
      </c>
      <c r="BT123" s="19">
        <f t="shared" si="133"/>
        <v>2336396</v>
      </c>
      <c r="BV123">
        <f>VLOOKUP(BK123,'Hazard Weighting Functions'!$B$5:$G$1205,5,FALSE)</f>
        <v>0.38100000000000001</v>
      </c>
      <c r="BW123" s="24">
        <f t="shared" si="134"/>
        <v>336694.272</v>
      </c>
      <c r="BX123" s="24">
        <f t="shared" si="135"/>
        <v>1562990.58</v>
      </c>
    </row>
    <row r="124" spans="2:76">
      <c r="B124">
        <v>390</v>
      </c>
      <c r="C124" s="36">
        <v>15.671600000000002</v>
      </c>
      <c r="E124">
        <v>390</v>
      </c>
      <c r="F124" s="36">
        <v>15.671600000000002</v>
      </c>
      <c r="H124" s="19">
        <v>390</v>
      </c>
      <c r="I124" s="36">
        <v>15.671600000000002</v>
      </c>
      <c r="K124">
        <v>1475</v>
      </c>
      <c r="L124" s="36">
        <f>985.183464*(1628/1602)</f>
        <v>1001.1727087340826</v>
      </c>
      <c r="N124">
        <v>625</v>
      </c>
      <c r="O124" s="36">
        <v>898760</v>
      </c>
      <c r="Q124" s="20">
        <v>505</v>
      </c>
      <c r="R124" s="37">
        <v>476688</v>
      </c>
      <c r="V124">
        <f t="shared" si="110"/>
        <v>390</v>
      </c>
      <c r="W124">
        <f t="shared" si="111"/>
        <v>15.671600000000002</v>
      </c>
      <c r="Y124">
        <f t="shared" si="112"/>
        <v>390</v>
      </c>
      <c r="Z124">
        <f t="shared" si="113"/>
        <v>15.671600000000002</v>
      </c>
      <c r="AA124">
        <f>VLOOKUP(Y124,'Hazard Weighting Functions'!$B$5:$G$1205,2,FALSE)</f>
        <v>4.3999999999999999E-5</v>
      </c>
      <c r="AB124">
        <f t="shared" si="114"/>
        <v>6.8955040000000007E-4</v>
      </c>
      <c r="AC124">
        <f t="shared" si="115"/>
        <v>1.3537090445264089E-3</v>
      </c>
      <c r="AD124">
        <f t="shared" si="116"/>
        <v>31.870591329912411</v>
      </c>
      <c r="AE124">
        <f>VLOOKUP(Y124,'Hazard Weighting Functions'!$B$5:$G$1205,3,FALSE)</f>
        <v>2.5000000000000001E-2</v>
      </c>
      <c r="AF124">
        <f t="shared" si="117"/>
        <v>0.39179000000000008</v>
      </c>
      <c r="AG124">
        <f t="shared" si="118"/>
        <v>0.9261574338957691</v>
      </c>
      <c r="AH124">
        <f>VLOOKUP(Y124,'Hazard Weighting Functions'!$B$5:$G$1205,5,FALSE)</f>
        <v>1.2E-4</v>
      </c>
      <c r="AI124">
        <f t="shared" si="119"/>
        <v>1.8805920000000002E-3</v>
      </c>
      <c r="AJ124">
        <f t="shared" si="120"/>
        <v>4.3183362982316363E-3</v>
      </c>
      <c r="AM124">
        <f t="shared" si="161"/>
        <v>31.870591329912411</v>
      </c>
      <c r="AP124" s="20">
        <f>'IEC_EN62471- Halogen non-GLS'!E174</f>
        <v>625</v>
      </c>
      <c r="AQ124" s="20">
        <f t="shared" si="121"/>
        <v>112.345</v>
      </c>
      <c r="AR124">
        <f>VLOOKUP(AP124,'Hazard Weighting Functions'!$B$5:$G$1205,3,FALSE)</f>
        <v>1E-3</v>
      </c>
      <c r="AS124">
        <f t="shared" si="122"/>
        <v>0.112345</v>
      </c>
      <c r="AT124">
        <f t="shared" si="123"/>
        <v>0.56640750000000006</v>
      </c>
      <c r="AU124" s="20">
        <f t="shared" si="108"/>
        <v>625</v>
      </c>
      <c r="AV124">
        <f>O124</f>
        <v>898760</v>
      </c>
      <c r="AW124" s="19">
        <f>VLOOKUP(AU124,'Hazard Weighting Functions'!$B$5:$G$1205,3,FALSE)</f>
        <v>1E-3</v>
      </c>
      <c r="AX124">
        <f t="shared" si="124"/>
        <v>898.76</v>
      </c>
      <c r="AY124" s="19">
        <f t="shared" si="125"/>
        <v>4531.26</v>
      </c>
      <c r="AZ124" s="20">
        <f t="shared" si="102"/>
        <v>505</v>
      </c>
      <c r="BA124" s="20">
        <f t="shared" si="103"/>
        <v>476688</v>
      </c>
      <c r="BB124" s="19">
        <f>VLOOKUP(AZ124,'Hazard Weighting Functions'!$B$5:$G$1205,3,FALSE)</f>
        <v>7.9000000000000001E-2</v>
      </c>
      <c r="BC124">
        <f t="shared" si="126"/>
        <v>37658.351999999999</v>
      </c>
      <c r="BD124" s="19">
        <f t="shared" si="127"/>
        <v>172165.70999999996</v>
      </c>
      <c r="BF124" s="20">
        <f t="shared" ref="BF124:BG124" si="166">H214</f>
        <v>825</v>
      </c>
      <c r="BG124" s="20">
        <f t="shared" si="166"/>
        <v>150.31</v>
      </c>
      <c r="BH124" s="19">
        <f>VLOOKUP(BF124,'Hazard Weighting Functions'!$B$5:$G$1205,4,FALSE)</f>
        <v>0.56200000000000006</v>
      </c>
      <c r="BI124" s="19">
        <f t="shared" si="129"/>
        <v>84.474220000000003</v>
      </c>
      <c r="BJ124" s="19">
        <f t="shared" si="130"/>
        <v>418.15880000000004</v>
      </c>
      <c r="BK124" s="1">
        <f t="shared" si="105"/>
        <v>625</v>
      </c>
      <c r="BL124" s="20">
        <f t="shared" si="106"/>
        <v>898760</v>
      </c>
      <c r="BM124">
        <f>VLOOKUP(BK124,'Hazard Weighting Functions'!$B$5:$G$1205,4,FALSE)</f>
        <v>1</v>
      </c>
      <c r="BN124">
        <f t="shared" si="131"/>
        <v>898760</v>
      </c>
      <c r="BO124" s="19">
        <f t="shared" si="78"/>
        <v>4531260</v>
      </c>
      <c r="BP124" s="20">
        <f t="shared" si="107"/>
        <v>505</v>
      </c>
      <c r="BQ124" s="20">
        <f t="shared" si="107"/>
        <v>476688</v>
      </c>
      <c r="BR124" s="19">
        <f>VLOOKUP(BP124,'Hazard Weighting Functions'!$B$5:$G$1205,4,FALSE)</f>
        <v>1</v>
      </c>
      <c r="BS124" s="19">
        <f t="shared" si="132"/>
        <v>476688</v>
      </c>
      <c r="BT124" s="19">
        <f t="shared" si="133"/>
        <v>2430129.9999999995</v>
      </c>
      <c r="BV124">
        <f>VLOOKUP(BK124,'Hazard Weighting Functions'!$B$5:$G$1205,5,FALSE)</f>
        <v>0.32100000000000001</v>
      </c>
      <c r="BW124" s="24">
        <f t="shared" si="134"/>
        <v>288501.96000000002</v>
      </c>
      <c r="BX124" s="24">
        <f t="shared" si="135"/>
        <v>1326610.3</v>
      </c>
    </row>
    <row r="125" spans="2:76">
      <c r="B125">
        <v>392</v>
      </c>
      <c r="C125" s="36">
        <v>16.19899132991241</v>
      </c>
      <c r="E125">
        <v>392</v>
      </c>
      <c r="F125" s="36">
        <v>16.19899132991241</v>
      </c>
      <c r="H125" s="19">
        <v>392</v>
      </c>
      <c r="I125" s="36">
        <v>16.19899132991241</v>
      </c>
      <c r="K125">
        <v>1480</v>
      </c>
      <c r="L125" s="36">
        <f>978.023316*(1628/1602)</f>
        <v>993.89635358801502</v>
      </c>
      <c r="N125">
        <v>630</v>
      </c>
      <c r="O125" s="36">
        <v>913744</v>
      </c>
      <c r="Q125" s="20">
        <v>510</v>
      </c>
      <c r="R125" s="37">
        <v>495363.99999999988</v>
      </c>
      <c r="V125">
        <f t="shared" si="110"/>
        <v>392</v>
      </c>
      <c r="W125">
        <f t="shared" si="111"/>
        <v>16.19899132991241</v>
      </c>
      <c r="Y125">
        <f t="shared" si="112"/>
        <v>392</v>
      </c>
      <c r="Z125">
        <f t="shared" si="113"/>
        <v>16.19899132991241</v>
      </c>
      <c r="AA125">
        <f>VLOOKUP(Y125,'Hazard Weighting Functions'!$B$5:$G$1205,2,FALSE)</f>
        <v>4.1E-5</v>
      </c>
      <c r="AB125">
        <f t="shared" si="114"/>
        <v>6.6415864452640879E-4</v>
      </c>
      <c r="AC125">
        <f t="shared" si="115"/>
        <v>1.2836906724090426E-3</v>
      </c>
      <c r="AD125">
        <f t="shared" si="116"/>
        <v>32.943100191605218</v>
      </c>
      <c r="AE125">
        <f>VLOOKUP(Y125,'Hazard Weighting Functions'!$B$5:$G$1205,3,FALSE)</f>
        <v>3.2987698000000003E-2</v>
      </c>
      <c r="AF125">
        <f t="shared" si="117"/>
        <v>0.53436743389576902</v>
      </c>
      <c r="AG125">
        <f t="shared" si="118"/>
        <v>1.2631971012081509</v>
      </c>
      <c r="AH125">
        <f>VLOOKUP(Y125,'Hazard Weighting Functions'!$B$5:$G$1205,5,FALSE)</f>
        <v>1.504874129866466E-4</v>
      </c>
      <c r="AI125">
        <f t="shared" si="119"/>
        <v>2.4377442982316364E-3</v>
      </c>
      <c r="AJ125">
        <f t="shared" si="120"/>
        <v>5.6336882187804568E-3</v>
      </c>
      <c r="AM125">
        <f t="shared" si="161"/>
        <v>32.943100191605218</v>
      </c>
      <c r="AP125" s="20">
        <f>'IEC_EN62471- Halogen non-GLS'!E175</f>
        <v>630</v>
      </c>
      <c r="AQ125" s="20">
        <f t="shared" si="121"/>
        <v>114.218</v>
      </c>
      <c r="AR125">
        <f>VLOOKUP(AP125,'Hazard Weighting Functions'!$B$5:$G$1205,3,FALSE)</f>
        <v>1E-3</v>
      </c>
      <c r="AS125">
        <f t="shared" si="122"/>
        <v>0.114218</v>
      </c>
      <c r="AT125">
        <f t="shared" si="123"/>
        <v>0.57546249999999999</v>
      </c>
      <c r="AU125" s="20">
        <f t="shared" si="108"/>
        <v>630</v>
      </c>
      <c r="AV125">
        <f>O125</f>
        <v>913744</v>
      </c>
      <c r="AW125" s="19">
        <f>VLOOKUP(AU125,'Hazard Weighting Functions'!$B$5:$G$1205,3,FALSE)</f>
        <v>1E-3</v>
      </c>
      <c r="AX125">
        <f t="shared" si="124"/>
        <v>913.74400000000003</v>
      </c>
      <c r="AY125" s="19">
        <f t="shared" si="125"/>
        <v>4603.7</v>
      </c>
      <c r="AZ125" s="20">
        <f t="shared" si="102"/>
        <v>510</v>
      </c>
      <c r="BA125" s="20">
        <f t="shared" si="103"/>
        <v>495363.99999999988</v>
      </c>
      <c r="BB125" s="19">
        <f>VLOOKUP(AZ125,'Hazard Weighting Functions'!$B$5:$G$1205,3,FALSE)</f>
        <v>6.3E-2</v>
      </c>
      <c r="BC125">
        <f t="shared" si="126"/>
        <v>31207.931999999993</v>
      </c>
      <c r="BD125" s="19">
        <f t="shared" si="127"/>
        <v>142191.52999999997</v>
      </c>
      <c r="BF125" s="20">
        <f t="shared" ref="BF125:BG125" si="167">H215</f>
        <v>830</v>
      </c>
      <c r="BG125" s="20">
        <f t="shared" si="167"/>
        <v>150.52600000000001</v>
      </c>
      <c r="BH125" s="19">
        <f>VLOOKUP(BF125,'Hazard Weighting Functions'!$B$5:$G$1205,4,FALSE)</f>
        <v>0.55000000000000004</v>
      </c>
      <c r="BI125" s="19">
        <f t="shared" si="129"/>
        <v>82.789300000000011</v>
      </c>
      <c r="BJ125" s="19">
        <f t="shared" si="130"/>
        <v>409.30008250000003</v>
      </c>
      <c r="BK125" s="1">
        <f t="shared" si="105"/>
        <v>630</v>
      </c>
      <c r="BL125" s="20">
        <f t="shared" si="106"/>
        <v>913744</v>
      </c>
      <c r="BM125">
        <f>VLOOKUP(BK125,'Hazard Weighting Functions'!$B$5:$G$1205,4,FALSE)</f>
        <v>1</v>
      </c>
      <c r="BN125">
        <f t="shared" si="131"/>
        <v>913744</v>
      </c>
      <c r="BO125" s="19">
        <f t="shared" si="78"/>
        <v>4603700</v>
      </c>
      <c r="BP125" s="20">
        <f t="shared" si="107"/>
        <v>510</v>
      </c>
      <c r="BQ125" s="20">
        <f t="shared" si="107"/>
        <v>495363.99999999988</v>
      </c>
      <c r="BR125" s="19">
        <f>VLOOKUP(BP125,'Hazard Weighting Functions'!$B$5:$G$1205,4,FALSE)</f>
        <v>1</v>
      </c>
      <c r="BS125" s="19">
        <f t="shared" si="132"/>
        <v>495363.99999999988</v>
      </c>
      <c r="BT125" s="19">
        <f t="shared" si="133"/>
        <v>2521843.9999999995</v>
      </c>
      <c r="BV125">
        <f>VLOOKUP(BK125,'Hazard Weighting Functions'!$B$5:$G$1205,5,FALSE)</f>
        <v>0.26500000000000001</v>
      </c>
      <c r="BW125" s="24">
        <f t="shared" si="134"/>
        <v>242142.16</v>
      </c>
      <c r="BX125" s="24">
        <f t="shared" si="135"/>
        <v>1108652.18</v>
      </c>
    </row>
    <row r="126" spans="2:76">
      <c r="B126">
        <v>394</v>
      </c>
      <c r="C126" s="36">
        <v>16.744108861692808</v>
      </c>
      <c r="E126">
        <v>394</v>
      </c>
      <c r="F126" s="36">
        <v>16.744108861692808</v>
      </c>
      <c r="H126" s="19">
        <v>394</v>
      </c>
      <c r="I126" s="36">
        <v>16.744108861692808</v>
      </c>
      <c r="K126">
        <v>1485</v>
      </c>
      <c r="L126" s="36">
        <f>970.901484*(1628/1602)</f>
        <v>986.65893629962545</v>
      </c>
      <c r="N126">
        <v>635</v>
      </c>
      <c r="O126" s="36">
        <v>927736</v>
      </c>
      <c r="Q126" s="20">
        <v>515</v>
      </c>
      <c r="R126" s="37">
        <v>513373.6</v>
      </c>
      <c r="V126">
        <f t="shared" si="110"/>
        <v>394</v>
      </c>
      <c r="W126">
        <f t="shared" si="111"/>
        <v>16.744108861692808</v>
      </c>
      <c r="Y126">
        <f t="shared" si="112"/>
        <v>394</v>
      </c>
      <c r="Z126">
        <f t="shared" si="113"/>
        <v>16.744108861692808</v>
      </c>
      <c r="AA126">
        <f>VLOOKUP(Y126,'Hazard Weighting Functions'!$B$5:$G$1205,2,FALSE)</f>
        <v>3.6999999999999998E-5</v>
      </c>
      <c r="AB126">
        <f t="shared" si="114"/>
        <v>6.1953202788263392E-4</v>
      </c>
      <c r="AC126">
        <f t="shared" si="115"/>
        <v>1.224841026706136E-3</v>
      </c>
      <c r="AD126">
        <f t="shared" si="116"/>
        <v>34.038651685221438</v>
      </c>
      <c r="AE126">
        <f>VLOOKUP(Y126,'Hazard Weighting Functions'!$B$5:$G$1205,3,FALSE)</f>
        <v>4.3527528000000003E-2</v>
      </c>
      <c r="AF126">
        <f t="shared" si="117"/>
        <v>0.72882966731238186</v>
      </c>
      <c r="AG126">
        <f t="shared" si="118"/>
        <v>1.722140316229237</v>
      </c>
      <c r="AH126">
        <f>VLOOKUP(Y126,'Hazard Weighting Functions'!$B$5:$G$1205,5,FALSE)</f>
        <v>1.908697528753235E-4</v>
      </c>
      <c r="AI126">
        <f t="shared" si="119"/>
        <v>3.1959439205488209E-3</v>
      </c>
      <c r="AJ126">
        <f t="shared" si="120"/>
        <v>7.4833401729495087E-3</v>
      </c>
      <c r="AM126">
        <f t="shared" si="161"/>
        <v>34.038651685221438</v>
      </c>
      <c r="AP126" s="20">
        <f>'IEC_EN62471- Halogen non-GLS'!E176</f>
        <v>635</v>
      </c>
      <c r="AQ126" s="20">
        <f t="shared" si="121"/>
        <v>115.967</v>
      </c>
      <c r="AR126">
        <f>VLOOKUP(AP126,'Hazard Weighting Functions'!$B$5:$G$1205,3,FALSE)</f>
        <v>1E-3</v>
      </c>
      <c r="AS126">
        <f t="shared" si="122"/>
        <v>0.115967</v>
      </c>
      <c r="AT126">
        <f t="shared" si="123"/>
        <v>0.58432000000000006</v>
      </c>
      <c r="AU126" s="20">
        <f t="shared" si="108"/>
        <v>635</v>
      </c>
      <c r="AV126">
        <f>O126</f>
        <v>927736</v>
      </c>
      <c r="AW126" s="19">
        <f>VLOOKUP(AU126,'Hazard Weighting Functions'!$B$5:$G$1205,3,FALSE)</f>
        <v>1E-3</v>
      </c>
      <c r="AX126">
        <f t="shared" si="124"/>
        <v>927.73599999999999</v>
      </c>
      <c r="AY126" s="19">
        <f t="shared" si="125"/>
        <v>4674.5600000000004</v>
      </c>
      <c r="AZ126" s="20">
        <f t="shared" si="102"/>
        <v>515</v>
      </c>
      <c r="BA126" s="20">
        <f t="shared" si="103"/>
        <v>513373.6</v>
      </c>
      <c r="BB126" s="19">
        <f>VLOOKUP(AZ126,'Hazard Weighting Functions'!$B$5:$G$1205,3,FALSE)</f>
        <v>0.05</v>
      </c>
      <c r="BC126">
        <f t="shared" si="126"/>
        <v>25668.68</v>
      </c>
      <c r="BD126" s="19">
        <f t="shared" si="127"/>
        <v>117330.26</v>
      </c>
      <c r="BF126" s="20">
        <f t="shared" ref="BF126:BG126" si="168">H216</f>
        <v>835</v>
      </c>
      <c r="BG126" s="20">
        <f t="shared" si="168"/>
        <v>150.709</v>
      </c>
      <c r="BH126" s="19">
        <f>VLOOKUP(BF126,'Hazard Weighting Functions'!$B$5:$G$1205,4,FALSE)</f>
        <v>0.53700000000000003</v>
      </c>
      <c r="BI126" s="19">
        <f t="shared" si="129"/>
        <v>80.930733000000004</v>
      </c>
      <c r="BJ126" s="19">
        <f t="shared" si="130"/>
        <v>400.33189499999997</v>
      </c>
      <c r="BK126" s="1">
        <f t="shared" si="105"/>
        <v>635</v>
      </c>
      <c r="BL126" s="20">
        <f t="shared" si="106"/>
        <v>927736</v>
      </c>
      <c r="BM126">
        <f>VLOOKUP(BK126,'Hazard Weighting Functions'!$B$5:$G$1205,4,FALSE)</f>
        <v>1</v>
      </c>
      <c r="BN126">
        <f t="shared" si="131"/>
        <v>927736</v>
      </c>
      <c r="BO126" s="19">
        <f t="shared" si="78"/>
        <v>4674560</v>
      </c>
      <c r="BP126" s="20">
        <f t="shared" si="107"/>
        <v>515</v>
      </c>
      <c r="BQ126" s="20">
        <f t="shared" si="107"/>
        <v>513373.6</v>
      </c>
      <c r="BR126" s="19">
        <f>VLOOKUP(BP126,'Hazard Weighting Functions'!$B$5:$G$1205,4,FALSE)</f>
        <v>1</v>
      </c>
      <c r="BS126" s="19">
        <f t="shared" si="132"/>
        <v>513373.6</v>
      </c>
      <c r="BT126" s="19">
        <f t="shared" si="133"/>
        <v>2612398</v>
      </c>
      <c r="BV126">
        <f>VLOOKUP(BK126,'Hazard Weighting Functions'!$B$5:$G$1205,5,FALSE)</f>
        <v>0.217</v>
      </c>
      <c r="BW126" s="24">
        <f t="shared" si="134"/>
        <v>201318.712</v>
      </c>
      <c r="BX126" s="24">
        <f t="shared" si="135"/>
        <v>915460.27999999991</v>
      </c>
    </row>
    <row r="127" spans="2:76">
      <c r="B127">
        <v>396</v>
      </c>
      <c r="C127" s="36">
        <v>17.294542823528626</v>
      </c>
      <c r="E127">
        <v>396</v>
      </c>
      <c r="F127" s="36">
        <v>17.294542823528626</v>
      </c>
      <c r="H127" s="19">
        <v>396</v>
      </c>
      <c r="I127" s="36">
        <v>17.294542823528626</v>
      </c>
      <c r="K127">
        <v>1490</v>
      </c>
      <c r="L127" s="36">
        <f>963.817968*(1628/1602)</f>
        <v>979.46045686891409</v>
      </c>
      <c r="N127">
        <v>640</v>
      </c>
      <c r="O127" s="36">
        <v>942088</v>
      </c>
      <c r="Q127" s="20">
        <v>520</v>
      </c>
      <c r="R127" s="37">
        <v>531585.6</v>
      </c>
      <c r="V127">
        <f t="shared" si="110"/>
        <v>396</v>
      </c>
      <c r="W127">
        <f t="shared" si="111"/>
        <v>17.294542823528626</v>
      </c>
      <c r="Y127">
        <f t="shared" si="112"/>
        <v>396</v>
      </c>
      <c r="Z127">
        <f t="shared" si="113"/>
        <v>17.294542823528626</v>
      </c>
      <c r="AA127">
        <f>VLOOKUP(Y127,'Hazard Weighting Functions'!$B$5:$G$1205,2,FALSE)</f>
        <v>3.4999999999999997E-5</v>
      </c>
      <c r="AB127">
        <f t="shared" si="114"/>
        <v>6.0530899882350192E-4</v>
      </c>
      <c r="AC127">
        <f t="shared" si="115"/>
        <v>1.1764436949381915E-3</v>
      </c>
      <c r="AD127">
        <f t="shared" si="116"/>
        <v>35.142502077112681</v>
      </c>
      <c r="AE127">
        <f>VLOOKUP(Y127,'Hazard Weighting Functions'!$B$5:$G$1205,3,FALSE)</f>
        <v>5.7434918000000001E-2</v>
      </c>
      <c r="AF127">
        <f t="shared" si="117"/>
        <v>0.99331064891685517</v>
      </c>
      <c r="AG127">
        <f t="shared" si="118"/>
        <v>2.3459330190599843</v>
      </c>
      <c r="AH127">
        <f>VLOOKUP(Y127,'Hazard Weighting Functions'!$B$5:$G$1205,5,FALSE)</f>
        <v>2.4790457291347612E-4</v>
      </c>
      <c r="AI127">
        <f t="shared" si="119"/>
        <v>4.2873962524006878E-3</v>
      </c>
      <c r="AJ127">
        <f t="shared" si="120"/>
        <v>9.9944071065143653E-3</v>
      </c>
      <c r="AM127">
        <f t="shared" si="161"/>
        <v>35.142502077112681</v>
      </c>
      <c r="AP127" s="20">
        <f>'IEC_EN62471- Halogen non-GLS'!E177</f>
        <v>640</v>
      </c>
      <c r="AQ127" s="20">
        <f t="shared" si="121"/>
        <v>117.76100000000001</v>
      </c>
      <c r="AR127">
        <f>VLOOKUP(AP127,'Hazard Weighting Functions'!$B$5:$G$1205,3,FALSE)</f>
        <v>1E-3</v>
      </c>
      <c r="AS127">
        <f t="shared" si="122"/>
        <v>0.11776100000000002</v>
      </c>
      <c r="AT127">
        <f t="shared" si="123"/>
        <v>0.59349500000000011</v>
      </c>
      <c r="AU127" s="20">
        <f t="shared" si="108"/>
        <v>640</v>
      </c>
      <c r="AV127">
        <f>O127</f>
        <v>942088</v>
      </c>
      <c r="AW127" s="19">
        <f>VLOOKUP(AU127,'Hazard Weighting Functions'!$B$5:$G$1205,3,FALSE)</f>
        <v>1E-3</v>
      </c>
      <c r="AX127">
        <f t="shared" si="124"/>
        <v>942.08799999999997</v>
      </c>
      <c r="AY127" s="19">
        <f t="shared" si="125"/>
        <v>4747.96</v>
      </c>
      <c r="AZ127" s="20">
        <f t="shared" si="102"/>
        <v>520</v>
      </c>
      <c r="BA127" s="20">
        <f t="shared" si="103"/>
        <v>531585.6</v>
      </c>
      <c r="BB127" s="19">
        <f>VLOOKUP(AZ127,'Hazard Weighting Functions'!$B$5:$G$1205,3,FALSE)</f>
        <v>0.04</v>
      </c>
      <c r="BC127">
        <f t="shared" si="126"/>
        <v>21263.423999999999</v>
      </c>
      <c r="BD127" s="19">
        <f t="shared" si="127"/>
        <v>97197.792000000016</v>
      </c>
      <c r="BF127" s="20">
        <f t="shared" ref="BF127:BG127" si="169">H217</f>
        <v>840</v>
      </c>
      <c r="BG127" s="20">
        <f t="shared" si="169"/>
        <v>150.86099999999999</v>
      </c>
      <c r="BH127" s="19">
        <f>VLOOKUP(BF127,'Hazard Weighting Functions'!$B$5:$G$1205,4,FALSE)</f>
        <v>0.52500000000000002</v>
      </c>
      <c r="BI127" s="19">
        <f t="shared" si="129"/>
        <v>79.202024999999992</v>
      </c>
      <c r="BJ127" s="19">
        <f t="shared" si="130"/>
        <v>391.7087325</v>
      </c>
      <c r="BK127" s="1">
        <f t="shared" si="105"/>
        <v>640</v>
      </c>
      <c r="BL127" s="20">
        <f t="shared" si="106"/>
        <v>942088</v>
      </c>
      <c r="BM127">
        <f>VLOOKUP(BK127,'Hazard Weighting Functions'!$B$5:$G$1205,4,FALSE)</f>
        <v>1</v>
      </c>
      <c r="BN127">
        <f t="shared" si="131"/>
        <v>942088</v>
      </c>
      <c r="BO127" s="19">
        <f t="shared" si="78"/>
        <v>4747960</v>
      </c>
      <c r="BP127" s="20">
        <f t="shared" si="107"/>
        <v>520</v>
      </c>
      <c r="BQ127" s="20">
        <f t="shared" si="107"/>
        <v>531585.6</v>
      </c>
      <c r="BR127" s="19">
        <f>VLOOKUP(BP127,'Hazard Weighting Functions'!$B$5:$G$1205,4,FALSE)</f>
        <v>1</v>
      </c>
      <c r="BS127" s="19">
        <f t="shared" si="132"/>
        <v>531585.6</v>
      </c>
      <c r="BT127" s="19">
        <f t="shared" si="133"/>
        <v>2705190</v>
      </c>
      <c r="BV127">
        <f>VLOOKUP(BK127,'Hazard Weighting Functions'!$B$5:$G$1205,5,FALSE)</f>
        <v>0.17499999999999999</v>
      </c>
      <c r="BW127" s="24">
        <f t="shared" si="134"/>
        <v>164865.4</v>
      </c>
      <c r="BX127" s="24">
        <f t="shared" si="135"/>
        <v>742840.16799999995</v>
      </c>
    </row>
    <row r="128" spans="2:76">
      <c r="B128">
        <v>398</v>
      </c>
      <c r="C128" s="36">
        <v>17.847959253584051</v>
      </c>
      <c r="E128">
        <v>398</v>
      </c>
      <c r="F128" s="36">
        <v>17.847959253584051</v>
      </c>
      <c r="H128" s="19">
        <v>398</v>
      </c>
      <c r="I128" s="36">
        <v>17.847959253584051</v>
      </c>
      <c r="K128">
        <v>1495</v>
      </c>
      <c r="L128" s="36">
        <f>956.77524*(1628/1602)</f>
        <v>972.30342741573043</v>
      </c>
      <c r="N128">
        <v>645</v>
      </c>
      <c r="O128" s="36">
        <v>957096</v>
      </c>
      <c r="Q128" s="20">
        <v>525</v>
      </c>
      <c r="R128" s="37">
        <v>550490.4</v>
      </c>
      <c r="V128">
        <f t="shared" si="110"/>
        <v>398</v>
      </c>
      <c r="W128">
        <f t="shared" si="111"/>
        <v>17.847959253584051</v>
      </c>
      <c r="Y128">
        <f t="shared" si="112"/>
        <v>398</v>
      </c>
      <c r="Z128">
        <f t="shared" si="113"/>
        <v>17.847959253584051</v>
      </c>
      <c r="AA128">
        <f>VLOOKUP(Y128,'Hazard Weighting Functions'!$B$5:$G$1205,2,FALSE)</f>
        <v>3.1999999999999999E-5</v>
      </c>
      <c r="AB128">
        <f t="shared" si="114"/>
        <v>5.711346961146896E-4</v>
      </c>
      <c r="AC128">
        <f t="shared" si="115"/>
        <v>1.1234976961146895E-3</v>
      </c>
      <c r="AD128">
        <f>0.5*(Y129-Y128)*(Z128+Z129)</f>
        <v>36.260059253584053</v>
      </c>
      <c r="AE128">
        <f>VLOOKUP(Y128,'Hazard Weighting Functions'!$B$5:$G$1205,3,FALSE)</f>
        <v>7.5785828E-2</v>
      </c>
      <c r="AF128">
        <f t="shared" si="117"/>
        <v>1.3526223701431292</v>
      </c>
      <c r="AG128">
        <f t="shared" si="118"/>
        <v>3.1938323701431295</v>
      </c>
      <c r="AH128">
        <f>VLOOKUP(Y128,'Hazard Weighting Functions'!$B$5:$G$1205,5,FALSE)</f>
        <v>3.1975705306295181E-4</v>
      </c>
      <c r="AI128">
        <f t="shared" si="119"/>
        <v>5.7070108541136776E-3</v>
      </c>
      <c r="AJ128">
        <f t="shared" si="120"/>
        <v>1.2998202454113678E-2</v>
      </c>
      <c r="AM128">
        <f t="shared" si="161"/>
        <v>36.260059253584053</v>
      </c>
      <c r="AP128" s="20">
        <f>'IEC_EN62471- Halogen non-GLS'!E178</f>
        <v>645</v>
      </c>
      <c r="AQ128" s="20">
        <f t="shared" si="121"/>
        <v>119.637</v>
      </c>
      <c r="AR128">
        <f>VLOOKUP(AP128,'Hazard Weighting Functions'!$B$5:$G$1205,3,FALSE)</f>
        <v>1E-3</v>
      </c>
      <c r="AS128">
        <f t="shared" si="122"/>
        <v>0.11963700000000001</v>
      </c>
      <c r="AT128">
        <f t="shared" si="123"/>
        <v>0.60260250000000004</v>
      </c>
      <c r="AU128" s="20">
        <f t="shared" si="108"/>
        <v>645</v>
      </c>
      <c r="AV128">
        <f>O128</f>
        <v>957096</v>
      </c>
      <c r="AW128" s="19">
        <f>VLOOKUP(AU128,'Hazard Weighting Functions'!$B$5:$G$1205,3,FALSE)</f>
        <v>1E-3</v>
      </c>
      <c r="AX128">
        <f t="shared" si="124"/>
        <v>957.096</v>
      </c>
      <c r="AY128" s="19">
        <f t="shared" si="125"/>
        <v>4820.82</v>
      </c>
      <c r="AZ128" s="20">
        <f t="shared" si="102"/>
        <v>525</v>
      </c>
      <c r="BA128" s="20">
        <f t="shared" si="103"/>
        <v>550490.4</v>
      </c>
      <c r="BB128" s="19">
        <f>VLOOKUP(AZ128,'Hazard Weighting Functions'!$B$5:$G$1205,3,FALSE)</f>
        <v>3.2000000000000001E-2</v>
      </c>
      <c r="BC128">
        <f t="shared" si="126"/>
        <v>17615.692800000001</v>
      </c>
      <c r="BD128" s="19">
        <f t="shared" si="127"/>
        <v>79641.881999999998</v>
      </c>
      <c r="BF128" s="20">
        <f t="shared" ref="BF128:BG128" si="170">H218</f>
        <v>845</v>
      </c>
      <c r="BG128" s="20">
        <f t="shared" si="170"/>
        <v>151.036</v>
      </c>
      <c r="BH128" s="19">
        <f>VLOOKUP(BF128,'Hazard Weighting Functions'!$B$5:$G$1205,4,FALSE)</f>
        <v>0.51300000000000001</v>
      </c>
      <c r="BI128" s="19">
        <f t="shared" si="129"/>
        <v>77.481468000000007</v>
      </c>
      <c r="BJ128" s="19">
        <f t="shared" si="130"/>
        <v>383.05661999999995</v>
      </c>
      <c r="BK128" s="1">
        <f t="shared" si="105"/>
        <v>645</v>
      </c>
      <c r="BL128" s="20">
        <f t="shared" si="106"/>
        <v>957096</v>
      </c>
      <c r="BM128">
        <f>VLOOKUP(BK128,'Hazard Weighting Functions'!$B$5:$G$1205,4,FALSE)</f>
        <v>1</v>
      </c>
      <c r="BN128">
        <f t="shared" si="131"/>
        <v>957096</v>
      </c>
      <c r="BO128" s="19">
        <f t="shared" si="78"/>
        <v>4820820</v>
      </c>
      <c r="BP128" s="20">
        <f t="shared" si="107"/>
        <v>525</v>
      </c>
      <c r="BQ128" s="20">
        <f t="shared" si="107"/>
        <v>550490.4</v>
      </c>
      <c r="BR128" s="19">
        <f>VLOOKUP(BP128,'Hazard Weighting Functions'!$B$5:$G$1205,4,FALSE)</f>
        <v>1</v>
      </c>
      <c r="BS128" s="19">
        <f t="shared" si="132"/>
        <v>550490.4</v>
      </c>
      <c r="BT128" s="19">
        <f t="shared" si="133"/>
        <v>2800331.9999999995</v>
      </c>
      <c r="BV128">
        <f>VLOOKUP(BK128,'Hazard Weighting Functions'!$B$5:$G$1205,5,FALSE)</f>
        <v>0.13819999999999999</v>
      </c>
      <c r="BW128" s="24">
        <f t="shared" si="134"/>
        <v>132270.6672</v>
      </c>
      <c r="BX128" s="24">
        <f t="shared" si="135"/>
        <v>590481.228</v>
      </c>
    </row>
    <row r="129" spans="2:76">
      <c r="B129">
        <v>400</v>
      </c>
      <c r="C129" s="36">
        <v>18.412100000000002</v>
      </c>
      <c r="E129">
        <v>400</v>
      </c>
      <c r="F129" s="36">
        <v>18.412100000000002</v>
      </c>
      <c r="H129" s="19">
        <v>400</v>
      </c>
      <c r="I129" s="36">
        <v>18.412100000000002</v>
      </c>
      <c r="K129">
        <v>1500</v>
      </c>
      <c r="L129" s="36">
        <f>949.772064*(1628/1602)</f>
        <v>965.18659188014999</v>
      </c>
      <c r="N129">
        <v>650</v>
      </c>
      <c r="O129" s="36">
        <v>971232</v>
      </c>
      <c r="Q129" s="20">
        <v>530</v>
      </c>
      <c r="R129" s="37">
        <v>569642.39999999991</v>
      </c>
      <c r="V129">
        <f t="shared" si="110"/>
        <v>400</v>
      </c>
      <c r="W129">
        <f t="shared" si="111"/>
        <v>18.412100000000002</v>
      </c>
      <c r="Y129">
        <f t="shared" si="112"/>
        <v>400</v>
      </c>
      <c r="Z129">
        <f t="shared" si="113"/>
        <v>18.412100000000002</v>
      </c>
      <c r="AA129">
        <f>VLOOKUP(Y129,'Hazard Weighting Functions'!$B$5:$G$1205,2,FALSE)</f>
        <v>3.0000000000000001E-5</v>
      </c>
      <c r="AB129">
        <f t="shared" si="114"/>
        <v>5.5236300000000005E-4</v>
      </c>
      <c r="AE129">
        <f>VLOOKUP(Y129,'Hazard Weighting Functions'!$B$5:$G$1205,3,FALSE)</f>
        <v>0.1</v>
      </c>
      <c r="AF129">
        <f t="shared" si="117"/>
        <v>1.8412100000000002</v>
      </c>
      <c r="AG129">
        <f t="shared" si="118"/>
        <v>14.539525000000001</v>
      </c>
      <c r="AH129">
        <f>VLOOKUP(Y129,'Hazard Weighting Functions'!$B$5:$G$1205,5,FALSE)</f>
        <v>3.9599999999999998E-4</v>
      </c>
      <c r="AI129">
        <f t="shared" si="119"/>
        <v>7.2911916000000009E-3</v>
      </c>
      <c r="AJ129">
        <f t="shared" si="120"/>
        <v>5.0024779000000005E-2</v>
      </c>
      <c r="AM129">
        <f t="shared" si="161"/>
        <v>95.71275</v>
      </c>
      <c r="AP129" s="20">
        <f>'IEC_EN62471- Halogen non-GLS'!E179</f>
        <v>650</v>
      </c>
      <c r="AQ129" s="20">
        <f t="shared" si="121"/>
        <v>121.404</v>
      </c>
      <c r="AR129">
        <f>VLOOKUP(AP129,'Hazard Weighting Functions'!$B$5:$G$1205,3,FALSE)</f>
        <v>1E-3</v>
      </c>
      <c r="AS129">
        <f t="shared" si="122"/>
        <v>0.121404</v>
      </c>
      <c r="AT129">
        <f t="shared" si="123"/>
        <v>0.61123749999999999</v>
      </c>
      <c r="AU129" s="20">
        <f t="shared" si="108"/>
        <v>650</v>
      </c>
      <c r="AV129">
        <f>O129</f>
        <v>971232</v>
      </c>
      <c r="AW129" s="19">
        <f>VLOOKUP(AU129,'Hazard Weighting Functions'!$B$5:$G$1205,3,FALSE)</f>
        <v>1E-3</v>
      </c>
      <c r="AX129">
        <f t="shared" si="124"/>
        <v>971.23199999999997</v>
      </c>
      <c r="AY129" s="19">
        <f t="shared" si="125"/>
        <v>4889.8999999999996</v>
      </c>
      <c r="AZ129" s="20">
        <f t="shared" si="102"/>
        <v>530</v>
      </c>
      <c r="BA129" s="20">
        <f t="shared" si="103"/>
        <v>569642.39999999991</v>
      </c>
      <c r="BB129" s="19">
        <f>VLOOKUP(AZ129,'Hazard Weighting Functions'!$B$5:$G$1205,3,FALSE)</f>
        <v>2.5000000000000001E-2</v>
      </c>
      <c r="BC129">
        <f t="shared" si="126"/>
        <v>14241.059999999998</v>
      </c>
      <c r="BD129" s="19">
        <f t="shared" si="127"/>
        <v>65042.49</v>
      </c>
      <c r="BF129" s="20">
        <f t="shared" ref="BF129:BG129" si="171">H219</f>
        <v>850</v>
      </c>
      <c r="BG129" s="20">
        <f t="shared" si="171"/>
        <v>151.18</v>
      </c>
      <c r="BH129" s="19">
        <f>VLOOKUP(BF129,'Hazard Weighting Functions'!$B$5:$G$1205,4,FALSE)</f>
        <v>0.501</v>
      </c>
      <c r="BI129" s="19">
        <f t="shared" si="129"/>
        <v>75.74118</v>
      </c>
      <c r="BJ129" s="19">
        <f t="shared" si="130"/>
        <v>374.68810000000008</v>
      </c>
      <c r="BK129" s="1">
        <f t="shared" si="105"/>
        <v>650</v>
      </c>
      <c r="BL129" s="20">
        <f t="shared" si="106"/>
        <v>971232</v>
      </c>
      <c r="BM129">
        <f>VLOOKUP(BK129,'Hazard Weighting Functions'!$B$5:$G$1205,4,FALSE)</f>
        <v>1</v>
      </c>
      <c r="BN129">
        <f t="shared" si="131"/>
        <v>971232</v>
      </c>
      <c r="BO129" s="19">
        <f t="shared" si="78"/>
        <v>4889899.9999999991</v>
      </c>
      <c r="BP129" s="20">
        <f t="shared" si="107"/>
        <v>530</v>
      </c>
      <c r="BQ129" s="20">
        <f t="shared" si="107"/>
        <v>569642.39999999991</v>
      </c>
      <c r="BR129" s="19">
        <f>VLOOKUP(BP129,'Hazard Weighting Functions'!$B$5:$G$1205,4,FALSE)</f>
        <v>1</v>
      </c>
      <c r="BS129" s="19">
        <f t="shared" si="132"/>
        <v>569642.39999999991</v>
      </c>
      <c r="BT129" s="19">
        <f t="shared" si="133"/>
        <v>2896097.9999999991</v>
      </c>
      <c r="BV129">
        <f>VLOOKUP(BK129,'Hazard Weighting Functions'!$B$5:$G$1205,5,FALSE)</f>
        <v>0.107</v>
      </c>
      <c r="BW129" s="24">
        <f t="shared" si="134"/>
        <v>103921.82399999999</v>
      </c>
      <c r="BX129" s="24">
        <f t="shared" si="135"/>
        <v>460689.07199999993</v>
      </c>
    </row>
    <row r="130" spans="2:76">
      <c r="B130">
        <v>405</v>
      </c>
      <c r="C130" s="36">
        <v>19.873000000000001</v>
      </c>
      <c r="E130">
        <v>405</v>
      </c>
      <c r="F130" s="36">
        <v>19.873000000000001</v>
      </c>
      <c r="H130" s="19">
        <v>405</v>
      </c>
      <c r="I130" s="36">
        <v>19.873000000000001</v>
      </c>
      <c r="K130">
        <v>1505</v>
      </c>
      <c r="L130" s="36">
        <f>942.873948*(1628/1602)</f>
        <v>958.17652143820226</v>
      </c>
      <c r="N130">
        <v>655</v>
      </c>
      <c r="O130" s="36">
        <v>984727.99999999977</v>
      </c>
      <c r="Q130" s="20">
        <v>535</v>
      </c>
      <c r="R130" s="37">
        <v>588796.79999999993</v>
      </c>
      <c r="V130">
        <f t="shared" si="110"/>
        <v>405</v>
      </c>
      <c r="W130">
        <f t="shared" si="111"/>
        <v>19.873000000000001</v>
      </c>
      <c r="Y130">
        <f t="shared" si="112"/>
        <v>405</v>
      </c>
      <c r="Z130">
        <f t="shared" si="113"/>
        <v>19.873000000000001</v>
      </c>
      <c r="AA130">
        <f>VLOOKUP(Y130,'Hazard Weighting Functions'!$B$5:$G$1205,2,FALSE)</f>
        <v>0</v>
      </c>
      <c r="AB130">
        <f t="shared" si="114"/>
        <v>0</v>
      </c>
      <c r="AC130">
        <f t="shared" si="115"/>
        <v>0</v>
      </c>
      <c r="AE130">
        <f>VLOOKUP(Y130,'Hazard Weighting Functions'!$B$5:$G$1205,3,FALSE)</f>
        <v>0.2</v>
      </c>
      <c r="AF130">
        <f t="shared" si="117"/>
        <v>3.9746000000000006</v>
      </c>
      <c r="AG130">
        <f t="shared" si="118"/>
        <v>31.298500000000004</v>
      </c>
      <c r="AH130">
        <f>VLOOKUP(Y130,'Hazard Weighting Functions'!$B$5:$G$1205,5,FALSE)</f>
        <v>6.4000000000000005E-4</v>
      </c>
      <c r="AI130">
        <f t="shared" si="119"/>
        <v>1.2718720000000001E-2</v>
      </c>
      <c r="AJ130">
        <f t="shared" si="120"/>
        <v>9.6416849999999985E-2</v>
      </c>
      <c r="AM130">
        <f t="shared" si="161"/>
        <v>103.08750000000001</v>
      </c>
      <c r="AP130" s="20">
        <f>'IEC_EN62471- Halogen non-GLS'!E180</f>
        <v>655</v>
      </c>
      <c r="AQ130" s="20">
        <f t="shared" si="121"/>
        <v>123.09099999999999</v>
      </c>
      <c r="AR130">
        <f>VLOOKUP(AP130,'Hazard Weighting Functions'!$B$5:$G$1205,3,FALSE)</f>
        <v>1E-3</v>
      </c>
      <c r="AS130">
        <f t="shared" si="122"/>
        <v>0.12309099999999999</v>
      </c>
      <c r="AT130">
        <f t="shared" si="123"/>
        <v>0.61928249999999996</v>
      </c>
      <c r="AU130" s="20">
        <f t="shared" si="108"/>
        <v>655</v>
      </c>
      <c r="AV130">
        <f>O130</f>
        <v>984727.99999999977</v>
      </c>
      <c r="AW130" s="19">
        <f>VLOOKUP(AU130,'Hazard Weighting Functions'!$B$5:$G$1205,3,FALSE)</f>
        <v>1E-3</v>
      </c>
      <c r="AX130">
        <f t="shared" si="124"/>
        <v>984.72799999999984</v>
      </c>
      <c r="AY130" s="19">
        <f t="shared" si="125"/>
        <v>4954.2599999999993</v>
      </c>
      <c r="AZ130" s="20">
        <f t="shared" si="102"/>
        <v>535</v>
      </c>
      <c r="BA130" s="20">
        <f t="shared" si="103"/>
        <v>588796.79999999993</v>
      </c>
      <c r="BB130" s="19">
        <f>VLOOKUP(AZ130,'Hazard Weighting Functions'!$B$5:$G$1205,3,FALSE)</f>
        <v>0.02</v>
      </c>
      <c r="BC130">
        <f t="shared" si="126"/>
        <v>11775.936</v>
      </c>
      <c r="BD130" s="19">
        <f t="shared" si="127"/>
        <v>53731.679999999993</v>
      </c>
      <c r="BF130" s="20">
        <f t="shared" ref="BF130:BG130" si="172">H220</f>
        <v>855</v>
      </c>
      <c r="BG130" s="20">
        <f t="shared" si="172"/>
        <v>151.29400000000001</v>
      </c>
      <c r="BH130" s="19">
        <f>VLOOKUP(BF130,'Hazard Weighting Functions'!$B$5:$G$1205,4,FALSE)</f>
        <v>0.49</v>
      </c>
      <c r="BI130" s="19">
        <f t="shared" si="129"/>
        <v>74.134060000000005</v>
      </c>
      <c r="BJ130" s="19">
        <f t="shared" si="130"/>
        <v>366.61150249999997</v>
      </c>
      <c r="BK130" s="1">
        <f t="shared" si="105"/>
        <v>655</v>
      </c>
      <c r="BL130" s="20">
        <f t="shared" si="106"/>
        <v>984727.99999999977</v>
      </c>
      <c r="BM130">
        <f>VLOOKUP(BK130,'Hazard Weighting Functions'!$B$5:$G$1205,4,FALSE)</f>
        <v>1</v>
      </c>
      <c r="BN130">
        <f t="shared" si="131"/>
        <v>984727.99999999977</v>
      </c>
      <c r="BO130" s="19">
        <f t="shared" si="78"/>
        <v>4954259.9999999991</v>
      </c>
      <c r="BP130" s="20">
        <f t="shared" si="107"/>
        <v>535</v>
      </c>
      <c r="BQ130" s="20">
        <f t="shared" si="107"/>
        <v>588796.79999999993</v>
      </c>
      <c r="BR130" s="19">
        <f>VLOOKUP(BP130,'Hazard Weighting Functions'!$B$5:$G$1205,4,FALSE)</f>
        <v>1</v>
      </c>
      <c r="BS130" s="19">
        <f t="shared" si="132"/>
        <v>588796.79999999993</v>
      </c>
      <c r="BT130" s="19">
        <f t="shared" si="133"/>
        <v>2990231.9999999995</v>
      </c>
      <c r="BV130">
        <f>VLOOKUP(BK130,'Hazard Weighting Functions'!$B$5:$G$1205,5,FALSE)</f>
        <v>8.1600000000000006E-2</v>
      </c>
      <c r="BW130" s="24">
        <f t="shared" si="134"/>
        <v>80353.804799999984</v>
      </c>
      <c r="BX130" s="24">
        <f t="shared" si="135"/>
        <v>352923.35199999996</v>
      </c>
    </row>
    <row r="131" spans="2:76">
      <c r="B131">
        <v>410</v>
      </c>
      <c r="C131" s="36">
        <v>21.361999999999998</v>
      </c>
      <c r="E131">
        <v>410</v>
      </c>
      <c r="F131" s="36">
        <v>21.361999999999998</v>
      </c>
      <c r="H131" s="19">
        <v>410</v>
      </c>
      <c r="I131" s="36">
        <v>21.361999999999998</v>
      </c>
      <c r="K131">
        <v>1510</v>
      </c>
      <c r="L131" s="36">
        <f>936.01662*(1628/1602)</f>
        <v>951.20790097378278</v>
      </c>
      <c r="N131">
        <v>660</v>
      </c>
      <c r="O131" s="36">
        <v>996976</v>
      </c>
      <c r="Q131" s="20">
        <v>540</v>
      </c>
      <c r="R131" s="37">
        <v>607296</v>
      </c>
      <c r="V131">
        <f t="shared" si="110"/>
        <v>410</v>
      </c>
      <c r="W131">
        <f t="shared" si="111"/>
        <v>21.361999999999998</v>
      </c>
      <c r="Y131">
        <f t="shared" si="112"/>
        <v>410</v>
      </c>
      <c r="Z131">
        <f t="shared" si="113"/>
        <v>21.361999999999998</v>
      </c>
      <c r="AA131">
        <f>VLOOKUP(Y131,'Hazard Weighting Functions'!$B$5:$G$1205,2,FALSE)</f>
        <v>0</v>
      </c>
      <c r="AB131">
        <f t="shared" si="114"/>
        <v>0</v>
      </c>
      <c r="AC131">
        <f t="shared" si="115"/>
        <v>0</v>
      </c>
      <c r="AE131">
        <f>VLOOKUP(Y131,'Hazard Weighting Functions'!$B$5:$G$1205,3,FALSE)</f>
        <v>0.4</v>
      </c>
      <c r="AF131">
        <f t="shared" si="117"/>
        <v>8.5448000000000004</v>
      </c>
      <c r="AG131">
        <f t="shared" si="118"/>
        <v>67.345600000000019</v>
      </c>
      <c r="AH131">
        <f>VLOOKUP(Y131,'Hazard Weighting Functions'!$B$5:$G$1205,5,FALSE)</f>
        <v>1.2099999999999999E-3</v>
      </c>
      <c r="AI131">
        <f t="shared" si="119"/>
        <v>2.5848019999999996E-2</v>
      </c>
      <c r="AJ131">
        <f t="shared" si="120"/>
        <v>0.18992536000000002</v>
      </c>
      <c r="AM131">
        <f t="shared" si="161"/>
        <v>110.88450000000002</v>
      </c>
      <c r="AP131" s="20">
        <f>'IEC_EN62471- Halogen non-GLS'!E181</f>
        <v>660</v>
      </c>
      <c r="AQ131" s="20">
        <f t="shared" si="121"/>
        <v>124.622</v>
      </c>
      <c r="AR131">
        <f>VLOOKUP(AP131,'Hazard Weighting Functions'!$B$5:$G$1205,3,FALSE)</f>
        <v>1E-3</v>
      </c>
      <c r="AS131">
        <f t="shared" si="122"/>
        <v>0.124622</v>
      </c>
      <c r="AT131">
        <f t="shared" si="123"/>
        <v>0.62720750000000003</v>
      </c>
      <c r="AU131" s="20">
        <f t="shared" si="108"/>
        <v>660</v>
      </c>
      <c r="AV131">
        <f>O131</f>
        <v>996976</v>
      </c>
      <c r="AW131" s="19">
        <f>VLOOKUP(AU131,'Hazard Weighting Functions'!$B$5:$G$1205,3,FALSE)</f>
        <v>1E-3</v>
      </c>
      <c r="AX131">
        <f t="shared" si="124"/>
        <v>996.976</v>
      </c>
      <c r="AY131" s="19">
        <f t="shared" si="125"/>
        <v>5017.66</v>
      </c>
      <c r="AZ131" s="20">
        <f t="shared" si="102"/>
        <v>540</v>
      </c>
      <c r="BA131" s="20">
        <f t="shared" si="103"/>
        <v>607296</v>
      </c>
      <c r="BB131" s="19">
        <f>VLOOKUP(AZ131,'Hazard Weighting Functions'!$B$5:$G$1205,3,FALSE)</f>
        <v>1.6E-2</v>
      </c>
      <c r="BC131">
        <f t="shared" si="126"/>
        <v>9716.7360000000008</v>
      </c>
      <c r="BD131" s="19">
        <f t="shared" si="127"/>
        <v>44611.62</v>
      </c>
      <c r="BF131" s="20">
        <f t="shared" ref="BF131:BG131" si="173">H221</f>
        <v>860</v>
      </c>
      <c r="BG131" s="20">
        <f t="shared" si="173"/>
        <v>151.37899999999999</v>
      </c>
      <c r="BH131" s="19">
        <f>VLOOKUP(BF131,'Hazard Weighting Functions'!$B$5:$G$1205,4,FALSE)</f>
        <v>0.47899999999999998</v>
      </c>
      <c r="BI131" s="19">
        <f t="shared" si="129"/>
        <v>72.510540999999989</v>
      </c>
      <c r="BJ131" s="19">
        <f t="shared" si="130"/>
        <v>358.20843249999996</v>
      </c>
      <c r="BK131" s="1">
        <f t="shared" si="105"/>
        <v>660</v>
      </c>
      <c r="BL131" s="20">
        <f t="shared" si="106"/>
        <v>996976</v>
      </c>
      <c r="BM131">
        <f>VLOOKUP(BK131,'Hazard Weighting Functions'!$B$5:$G$1205,4,FALSE)</f>
        <v>1</v>
      </c>
      <c r="BN131">
        <f t="shared" si="131"/>
        <v>996976</v>
      </c>
      <c r="BO131" s="19">
        <f t="shared" si="78"/>
        <v>5017660</v>
      </c>
      <c r="BP131" s="20">
        <f t="shared" si="107"/>
        <v>540</v>
      </c>
      <c r="BQ131" s="20">
        <f t="shared" si="107"/>
        <v>607296</v>
      </c>
      <c r="BR131" s="19">
        <f>VLOOKUP(BP131,'Hazard Weighting Functions'!$B$5:$G$1205,4,FALSE)</f>
        <v>1</v>
      </c>
      <c r="BS131" s="19">
        <f t="shared" si="132"/>
        <v>607296</v>
      </c>
      <c r="BT131" s="19">
        <f t="shared" si="133"/>
        <v>3081300</v>
      </c>
      <c r="BV131">
        <f>VLOOKUP(BK131,'Hazard Weighting Functions'!$B$5:$G$1205,5,FALSE)</f>
        <v>6.0999999999999999E-2</v>
      </c>
      <c r="BW131" s="24">
        <f t="shared" si="134"/>
        <v>60815.536</v>
      </c>
      <c r="BX131" s="24">
        <f t="shared" si="135"/>
        <v>264613.14760000003</v>
      </c>
    </row>
    <row r="132" spans="2:76">
      <c r="B132">
        <v>415</v>
      </c>
      <c r="C132" s="36">
        <v>22.991800000000005</v>
      </c>
      <c r="E132">
        <v>415</v>
      </c>
      <c r="F132" s="36">
        <v>22.991800000000005</v>
      </c>
      <c r="H132" s="19">
        <v>415</v>
      </c>
      <c r="I132" s="36">
        <v>22.991800000000005</v>
      </c>
      <c r="K132">
        <v>1515</v>
      </c>
      <c r="L132" s="36">
        <f>929.198844*(1628/1602)</f>
        <v>944.2794744269662</v>
      </c>
      <c r="N132">
        <v>665</v>
      </c>
      <c r="O132" s="36">
        <v>1010088</v>
      </c>
      <c r="Q132" s="20">
        <v>545</v>
      </c>
      <c r="R132" s="37">
        <v>625224</v>
      </c>
      <c r="V132">
        <f t="shared" si="110"/>
        <v>415</v>
      </c>
      <c r="W132">
        <f t="shared" si="111"/>
        <v>22.991800000000005</v>
      </c>
      <c r="Y132">
        <f t="shared" si="112"/>
        <v>415</v>
      </c>
      <c r="Z132">
        <f t="shared" si="113"/>
        <v>22.991800000000005</v>
      </c>
      <c r="AA132">
        <f>VLOOKUP(Y132,'Hazard Weighting Functions'!$B$5:$G$1205,2,FALSE)</f>
        <v>0</v>
      </c>
      <c r="AB132">
        <f t="shared" si="114"/>
        <v>0</v>
      </c>
      <c r="AC132">
        <f t="shared" si="115"/>
        <v>0</v>
      </c>
      <c r="AE132">
        <f>VLOOKUP(Y132,'Hazard Weighting Functions'!$B$5:$G$1205,3,FALSE)</f>
        <v>0.8</v>
      </c>
      <c r="AF132">
        <f t="shared" si="117"/>
        <v>18.393440000000005</v>
      </c>
      <c r="AG132">
        <f t="shared" si="118"/>
        <v>101.29737500000002</v>
      </c>
      <c r="AH132">
        <f>VLOOKUP(Y132,'Hazard Weighting Functions'!$B$5:$G$1205,5,FALSE)</f>
        <v>2.1800000000000001E-3</v>
      </c>
      <c r="AI132">
        <f t="shared" si="119"/>
        <v>5.0122124000000011E-2</v>
      </c>
      <c r="AJ132">
        <f t="shared" si="120"/>
        <v>0.37114431000000003</v>
      </c>
      <c r="AM132">
        <f t="shared" si="161"/>
        <v>118.93925000000002</v>
      </c>
      <c r="AP132" s="20">
        <f>'IEC_EN62471- Halogen non-GLS'!E182</f>
        <v>665</v>
      </c>
      <c r="AQ132" s="20">
        <f t="shared" si="121"/>
        <v>126.26100000000001</v>
      </c>
      <c r="AR132">
        <f>VLOOKUP(AP132,'Hazard Weighting Functions'!$B$5:$G$1205,3,FALSE)</f>
        <v>1E-3</v>
      </c>
      <c r="AS132">
        <f t="shared" si="122"/>
        <v>0.12626100000000001</v>
      </c>
      <c r="AT132">
        <f t="shared" si="123"/>
        <v>0.63535499999999989</v>
      </c>
      <c r="AU132" s="20">
        <f t="shared" si="108"/>
        <v>665</v>
      </c>
      <c r="AV132">
        <f>O132</f>
        <v>1010088</v>
      </c>
      <c r="AW132" s="19">
        <f>VLOOKUP(AU132,'Hazard Weighting Functions'!$B$5:$G$1205,3,FALSE)</f>
        <v>1E-3</v>
      </c>
      <c r="AX132">
        <f t="shared" si="124"/>
        <v>1010.088</v>
      </c>
      <c r="AY132" s="19">
        <f t="shared" si="125"/>
        <v>5082.84</v>
      </c>
      <c r="AZ132" s="20">
        <f t="shared" si="102"/>
        <v>545</v>
      </c>
      <c r="BA132" s="20">
        <f t="shared" si="103"/>
        <v>625224</v>
      </c>
      <c r="BB132" s="19">
        <f>VLOOKUP(AZ132,'Hazard Weighting Functions'!$B$5:$G$1205,3,FALSE)</f>
        <v>1.2999999999999999E-2</v>
      </c>
      <c r="BC132">
        <f t="shared" si="126"/>
        <v>8127.9119999999994</v>
      </c>
      <c r="BD132" s="19">
        <f t="shared" si="127"/>
        <v>36338.42</v>
      </c>
      <c r="BF132" s="20">
        <f t="shared" ref="BF132:BG132" si="174">H222</f>
        <v>865</v>
      </c>
      <c r="BG132" s="20">
        <f t="shared" si="174"/>
        <v>151.22399999999999</v>
      </c>
      <c r="BH132" s="19">
        <f>VLOOKUP(BF132,'Hazard Weighting Functions'!$B$5:$G$1205,4,FALSE)</f>
        <v>0.46800000000000003</v>
      </c>
      <c r="BI132" s="19">
        <f t="shared" si="129"/>
        <v>70.772831999999994</v>
      </c>
      <c r="BJ132" s="19">
        <f t="shared" si="130"/>
        <v>349.49527999999998</v>
      </c>
      <c r="BK132" s="1">
        <f t="shared" si="105"/>
        <v>665</v>
      </c>
      <c r="BL132" s="20">
        <f t="shared" si="106"/>
        <v>1010088</v>
      </c>
      <c r="BM132">
        <f>VLOOKUP(BK132,'Hazard Weighting Functions'!$B$5:$G$1205,4,FALSE)</f>
        <v>1</v>
      </c>
      <c r="BN132">
        <f t="shared" si="131"/>
        <v>1010088</v>
      </c>
      <c r="BO132" s="19">
        <f t="shared" si="78"/>
        <v>5082840</v>
      </c>
      <c r="BP132" s="20">
        <f t="shared" si="107"/>
        <v>545</v>
      </c>
      <c r="BQ132" s="20">
        <f t="shared" si="107"/>
        <v>625224</v>
      </c>
      <c r="BR132" s="19">
        <f>VLOOKUP(BP132,'Hazard Weighting Functions'!$B$5:$G$1205,4,FALSE)</f>
        <v>1</v>
      </c>
      <c r="BS132" s="19">
        <f t="shared" si="132"/>
        <v>625224</v>
      </c>
      <c r="BT132" s="19">
        <f t="shared" si="133"/>
        <v>3164923.9999999995</v>
      </c>
      <c r="BV132">
        <f>VLOOKUP(BK132,'Hazard Weighting Functions'!$B$5:$G$1205,5,FALSE)</f>
        <v>4.4580000000000002E-2</v>
      </c>
      <c r="BW132" s="24">
        <f t="shared" si="134"/>
        <v>45029.723040000004</v>
      </c>
      <c r="BX132" s="24">
        <f t="shared" si="135"/>
        <v>194418.14760000003</v>
      </c>
    </row>
    <row r="133" spans="2:76">
      <c r="B133">
        <v>420</v>
      </c>
      <c r="C133" s="36">
        <v>24.5839</v>
      </c>
      <c r="E133">
        <v>420</v>
      </c>
      <c r="F133" s="36">
        <v>24.5839</v>
      </c>
      <c r="H133" s="19">
        <v>420</v>
      </c>
      <c r="I133" s="36">
        <v>24.5839</v>
      </c>
      <c r="K133">
        <v>1520</v>
      </c>
      <c r="L133" s="36">
        <f>922.419384*(1628/1602)</f>
        <v>937.38998573782794</v>
      </c>
      <c r="N133">
        <v>670</v>
      </c>
      <c r="O133" s="36">
        <v>1023048</v>
      </c>
      <c r="Q133" s="20">
        <v>550</v>
      </c>
      <c r="R133" s="37">
        <v>640745.59999999986</v>
      </c>
      <c r="V133">
        <f t="shared" si="110"/>
        <v>420</v>
      </c>
      <c r="W133">
        <f t="shared" si="111"/>
        <v>24.5839</v>
      </c>
      <c r="Y133">
        <f t="shared" si="112"/>
        <v>420</v>
      </c>
      <c r="Z133">
        <f t="shared" si="113"/>
        <v>24.5839</v>
      </c>
      <c r="AA133">
        <f>VLOOKUP(Y133,'Hazard Weighting Functions'!$B$5:$G$1205,2,FALSE)</f>
        <v>0</v>
      </c>
      <c r="AB133">
        <f t="shared" si="114"/>
        <v>0</v>
      </c>
      <c r="AC133">
        <f t="shared" si="115"/>
        <v>0</v>
      </c>
      <c r="AE133">
        <f>VLOOKUP(Y133,'Hazard Weighting Functions'!$B$5:$G$1205,3,FALSE)</f>
        <v>0.9</v>
      </c>
      <c r="AF133">
        <f t="shared" si="117"/>
        <v>22.125510000000002</v>
      </c>
      <c r="AG133">
        <f t="shared" si="118"/>
        <v>117.72735</v>
      </c>
      <c r="AH133">
        <f>VLOOKUP(Y133,'Hazard Weighting Functions'!$B$5:$G$1205,5,FALSE)</f>
        <v>4.0000000000000001E-3</v>
      </c>
      <c r="AI133">
        <f t="shared" si="119"/>
        <v>9.8335599999999995E-2</v>
      </c>
      <c r="AJ133">
        <f t="shared" si="120"/>
        <v>0.72543804999999995</v>
      </c>
      <c r="AM133">
        <f t="shared" si="161"/>
        <v>127.15824999999998</v>
      </c>
      <c r="AP133" s="20">
        <f>'IEC_EN62471- Halogen non-GLS'!E183</f>
        <v>670</v>
      </c>
      <c r="AQ133" s="20">
        <f t="shared" si="121"/>
        <v>127.881</v>
      </c>
      <c r="AR133">
        <f>VLOOKUP(AP133,'Hazard Weighting Functions'!$B$5:$G$1205,3,FALSE)</f>
        <v>1E-3</v>
      </c>
      <c r="AS133">
        <f t="shared" si="122"/>
        <v>0.12788099999999999</v>
      </c>
      <c r="AT133">
        <f t="shared" si="123"/>
        <v>0.64335500000000001</v>
      </c>
      <c r="AU133" s="20">
        <f t="shared" si="108"/>
        <v>670</v>
      </c>
      <c r="AV133">
        <f>O133</f>
        <v>1023048</v>
      </c>
      <c r="AW133" s="19">
        <f>VLOOKUP(AU133,'Hazard Weighting Functions'!$B$5:$G$1205,3,FALSE)</f>
        <v>1E-3</v>
      </c>
      <c r="AX133">
        <f t="shared" si="124"/>
        <v>1023.048</v>
      </c>
      <c r="AY133" s="19">
        <f t="shared" si="125"/>
        <v>5146.84</v>
      </c>
      <c r="AZ133" s="20">
        <f t="shared" si="102"/>
        <v>550</v>
      </c>
      <c r="BA133" s="20">
        <f t="shared" si="103"/>
        <v>640745.59999999986</v>
      </c>
      <c r="BB133" s="19">
        <f>VLOOKUP(AZ133,'Hazard Weighting Functions'!$B$5:$G$1205,3,FALSE)</f>
        <v>0.01</v>
      </c>
      <c r="BC133">
        <f t="shared" si="126"/>
        <v>6407.4559999999983</v>
      </c>
      <c r="BD133" s="19">
        <f t="shared" si="127"/>
        <v>29235.023999999994</v>
      </c>
      <c r="BF133" s="20">
        <f t="shared" ref="BF133:BG133" si="175">H223</f>
        <v>870</v>
      </c>
      <c r="BG133" s="20">
        <f t="shared" si="175"/>
        <v>151.04000000000002</v>
      </c>
      <c r="BH133" s="19">
        <f>VLOOKUP(BF133,'Hazard Weighting Functions'!$B$5:$G$1205,4,FALSE)</f>
        <v>0.45700000000000002</v>
      </c>
      <c r="BI133" s="19">
        <f t="shared" si="129"/>
        <v>69.025280000000009</v>
      </c>
      <c r="BJ133" s="19">
        <f t="shared" si="130"/>
        <v>341.11237249999999</v>
      </c>
      <c r="BK133" s="1">
        <f t="shared" si="105"/>
        <v>670</v>
      </c>
      <c r="BL133" s="20">
        <f t="shared" si="106"/>
        <v>1023048</v>
      </c>
      <c r="BM133">
        <f>VLOOKUP(BK133,'Hazard Weighting Functions'!$B$5:$G$1205,4,FALSE)</f>
        <v>1</v>
      </c>
      <c r="BN133">
        <f t="shared" si="131"/>
        <v>1023048</v>
      </c>
      <c r="BO133" s="19">
        <f t="shared" ref="BO133:BO196" si="176">0.5*(BK134-BK133)*(BN133+BN134)</f>
        <v>5146840</v>
      </c>
      <c r="BP133" s="20">
        <f t="shared" si="107"/>
        <v>550</v>
      </c>
      <c r="BQ133" s="20">
        <f t="shared" si="107"/>
        <v>640745.59999999986</v>
      </c>
      <c r="BR133" s="19">
        <f>VLOOKUP(BP133,'Hazard Weighting Functions'!$B$5:$G$1205,4,FALSE)</f>
        <v>1</v>
      </c>
      <c r="BS133" s="19">
        <f t="shared" si="132"/>
        <v>640745.59999999986</v>
      </c>
      <c r="BT133" s="19">
        <f t="shared" si="133"/>
        <v>3253911.9999999995</v>
      </c>
      <c r="BV133">
        <f>VLOOKUP(BK133,'Hazard Weighting Functions'!$B$5:$G$1205,5,FALSE)</f>
        <v>3.2000000000000001E-2</v>
      </c>
      <c r="BW133" s="24">
        <f t="shared" si="134"/>
        <v>32737.536</v>
      </c>
      <c r="BX133" s="24">
        <f t="shared" si="135"/>
        <v>141913.74400000001</v>
      </c>
    </row>
    <row r="134" spans="2:76">
      <c r="B134">
        <v>425</v>
      </c>
      <c r="C134" s="36">
        <v>26.279399999999999</v>
      </c>
      <c r="E134">
        <v>425</v>
      </c>
      <c r="F134" s="36">
        <v>26.279399999999999</v>
      </c>
      <c r="H134" s="19">
        <v>425</v>
      </c>
      <c r="I134" s="36">
        <v>26.279399999999999</v>
      </c>
      <c r="K134">
        <v>1525</v>
      </c>
      <c r="L134" s="36">
        <f>915.680712*(1628/1602)</f>
        <v>930.54194702621737</v>
      </c>
      <c r="N134">
        <v>675</v>
      </c>
      <c r="O134" s="36">
        <v>1035688</v>
      </c>
      <c r="Q134" s="20">
        <v>555</v>
      </c>
      <c r="R134" s="37">
        <v>660819.19999999995</v>
      </c>
      <c r="V134">
        <f t="shared" si="110"/>
        <v>425</v>
      </c>
      <c r="W134">
        <f t="shared" si="111"/>
        <v>26.279399999999999</v>
      </c>
      <c r="Y134">
        <f t="shared" si="112"/>
        <v>425</v>
      </c>
      <c r="Z134">
        <f t="shared" si="113"/>
        <v>26.279399999999999</v>
      </c>
      <c r="AA134">
        <f>VLOOKUP(Y134,'Hazard Weighting Functions'!$B$5:$G$1205,2,FALSE)</f>
        <v>0</v>
      </c>
      <c r="AB134">
        <f t="shared" si="114"/>
        <v>0</v>
      </c>
      <c r="AC134">
        <f t="shared" si="115"/>
        <v>0</v>
      </c>
      <c r="AE134">
        <f>VLOOKUP(Y134,'Hazard Weighting Functions'!$B$5:$G$1205,3,FALSE)</f>
        <v>0.95</v>
      </c>
      <c r="AF134">
        <f t="shared" si="117"/>
        <v>24.965429999999998</v>
      </c>
      <c r="AG134">
        <f t="shared" si="118"/>
        <v>131.09515999999999</v>
      </c>
      <c r="AH134">
        <f>VLOOKUP(Y134,'Hazard Weighting Functions'!$B$5:$G$1205,5,FALSE)</f>
        <v>7.3000000000000001E-3</v>
      </c>
      <c r="AI134">
        <f t="shared" si="119"/>
        <v>0.19183961999999999</v>
      </c>
      <c r="AJ134">
        <f t="shared" si="120"/>
        <v>1.2925647499999999</v>
      </c>
      <c r="AM134">
        <f t="shared" si="161"/>
        <v>135.78174999999999</v>
      </c>
      <c r="AP134" s="20">
        <f>'IEC_EN62471- Halogen non-GLS'!E184</f>
        <v>675</v>
      </c>
      <c r="AQ134" s="20">
        <f t="shared" si="121"/>
        <v>129.46100000000001</v>
      </c>
      <c r="AR134">
        <f>VLOOKUP(AP134,'Hazard Weighting Functions'!$B$5:$G$1205,3,FALSE)</f>
        <v>1E-3</v>
      </c>
      <c r="AS134">
        <f t="shared" si="122"/>
        <v>0.12946100000000002</v>
      </c>
      <c r="AT134">
        <f t="shared" si="123"/>
        <v>0.65064750000000005</v>
      </c>
      <c r="AU134" s="20">
        <f t="shared" si="108"/>
        <v>675</v>
      </c>
      <c r="AV134">
        <f>O134</f>
        <v>1035688</v>
      </c>
      <c r="AW134" s="19">
        <f>VLOOKUP(AU134,'Hazard Weighting Functions'!$B$5:$G$1205,3,FALSE)</f>
        <v>1E-3</v>
      </c>
      <c r="AX134">
        <f t="shared" si="124"/>
        <v>1035.6880000000001</v>
      </c>
      <c r="AY134" s="19">
        <f t="shared" si="125"/>
        <v>5205.18</v>
      </c>
      <c r="AZ134" s="20">
        <f t="shared" si="102"/>
        <v>555</v>
      </c>
      <c r="BA134" s="20">
        <f t="shared" si="103"/>
        <v>660819.19999999995</v>
      </c>
      <c r="BB134" s="19">
        <f>VLOOKUP(AZ134,'Hazard Weighting Functions'!$B$5:$G$1205,3,FALSE)</f>
        <v>8.0000000000000002E-3</v>
      </c>
      <c r="BC134">
        <f t="shared" si="126"/>
        <v>5286.5536000000002</v>
      </c>
      <c r="BD134" s="19">
        <f t="shared" si="127"/>
        <v>23409.340000000004</v>
      </c>
      <c r="BF134" s="20">
        <f t="shared" ref="BF134:BG134" si="177">H224</f>
        <v>875</v>
      </c>
      <c r="BG134" s="20">
        <f t="shared" si="177"/>
        <v>150.827</v>
      </c>
      <c r="BH134" s="19">
        <f>VLOOKUP(BF134,'Hazard Weighting Functions'!$B$5:$G$1205,4,FALSE)</f>
        <v>0.44700000000000001</v>
      </c>
      <c r="BI134" s="19">
        <f t="shared" si="129"/>
        <v>67.419668999999999</v>
      </c>
      <c r="BJ134" s="19">
        <f t="shared" si="130"/>
        <v>333.06546999999995</v>
      </c>
      <c r="BK134" s="1">
        <f t="shared" si="105"/>
        <v>675</v>
      </c>
      <c r="BL134" s="20">
        <f t="shared" si="106"/>
        <v>1035688</v>
      </c>
      <c r="BM134">
        <f>VLOOKUP(BK134,'Hazard Weighting Functions'!$B$5:$G$1205,4,FALSE)</f>
        <v>1</v>
      </c>
      <c r="BN134">
        <f t="shared" si="131"/>
        <v>1035688</v>
      </c>
      <c r="BO134" s="19">
        <f t="shared" si="176"/>
        <v>5205180</v>
      </c>
      <c r="BP134" s="20">
        <f t="shared" si="107"/>
        <v>555</v>
      </c>
      <c r="BQ134" s="20">
        <f t="shared" si="107"/>
        <v>660819.19999999995</v>
      </c>
      <c r="BR134" s="19">
        <f>VLOOKUP(BP134,'Hazard Weighting Functions'!$B$5:$G$1205,4,FALSE)</f>
        <v>1</v>
      </c>
      <c r="BS134" s="19">
        <f t="shared" si="132"/>
        <v>660819.19999999995</v>
      </c>
      <c r="BT134" s="19">
        <f t="shared" si="133"/>
        <v>3350873.9999999995</v>
      </c>
      <c r="BV134">
        <f>VLOOKUP(BK134,'Hazard Weighting Functions'!$B$5:$G$1205,5,FALSE)</f>
        <v>2.3199999999999998E-2</v>
      </c>
      <c r="BW134" s="24">
        <f t="shared" si="134"/>
        <v>24027.961599999999</v>
      </c>
      <c r="BX134" s="24">
        <f t="shared" si="135"/>
        <v>104541.224</v>
      </c>
    </row>
    <row r="135" spans="2:76">
      <c r="B135">
        <v>430</v>
      </c>
      <c r="C135" s="36">
        <v>28.033300000000001</v>
      </c>
      <c r="E135">
        <v>430</v>
      </c>
      <c r="F135" s="36">
        <v>28.033300000000001</v>
      </c>
      <c r="H135" s="19">
        <v>430</v>
      </c>
      <c r="I135" s="36">
        <v>28.033300000000001</v>
      </c>
      <c r="K135">
        <v>1530</v>
      </c>
      <c r="L135" s="36">
        <f>908.980356*(1628/1602)</f>
        <v>923.73284617228478</v>
      </c>
      <c r="N135">
        <v>680</v>
      </c>
      <c r="O135" s="36">
        <v>1046384</v>
      </c>
      <c r="Q135" s="20">
        <v>560</v>
      </c>
      <c r="R135" s="37">
        <v>679530.39999999991</v>
      </c>
      <c r="V135">
        <f t="shared" si="110"/>
        <v>430</v>
      </c>
      <c r="W135">
        <f t="shared" si="111"/>
        <v>28.033300000000001</v>
      </c>
      <c r="Y135">
        <f t="shared" si="112"/>
        <v>430</v>
      </c>
      <c r="Z135">
        <f t="shared" si="113"/>
        <v>28.033300000000001</v>
      </c>
      <c r="AA135">
        <f>VLOOKUP(Y135,'Hazard Weighting Functions'!$B$5:$G$1205,2,FALSE)</f>
        <v>0</v>
      </c>
      <c r="AB135">
        <f t="shared" si="114"/>
        <v>0</v>
      </c>
      <c r="AC135">
        <f t="shared" si="115"/>
        <v>0</v>
      </c>
      <c r="AE135">
        <f>VLOOKUP(Y135,'Hazard Weighting Functions'!$B$5:$G$1205,3,FALSE)</f>
        <v>0.98</v>
      </c>
      <c r="AF135">
        <f t="shared" si="117"/>
        <v>27.472633999999999</v>
      </c>
      <c r="AG135">
        <f t="shared" si="118"/>
        <v>143.304835</v>
      </c>
      <c r="AH135">
        <f>VLOOKUP(Y135,'Hazard Weighting Functions'!$B$5:$G$1205,5,FALSE)</f>
        <v>1.1599999999999999E-2</v>
      </c>
      <c r="AI135">
        <f t="shared" si="119"/>
        <v>0.32518627999999999</v>
      </c>
      <c r="AJ135">
        <f t="shared" si="120"/>
        <v>2.0696212300000001</v>
      </c>
      <c r="AM135">
        <f t="shared" si="161"/>
        <v>144.70650000000001</v>
      </c>
      <c r="AP135" s="20">
        <f>'IEC_EN62471- Halogen non-GLS'!E185</f>
        <v>680</v>
      </c>
      <c r="AQ135" s="20">
        <f t="shared" si="121"/>
        <v>130.798</v>
      </c>
      <c r="AR135">
        <f>VLOOKUP(AP135,'Hazard Weighting Functions'!$B$5:$G$1205,3,FALSE)</f>
        <v>1E-3</v>
      </c>
      <c r="AS135">
        <f t="shared" si="122"/>
        <v>0.130798</v>
      </c>
      <c r="AT135">
        <f t="shared" si="123"/>
        <v>0.6571975000000001</v>
      </c>
      <c r="AU135" s="20">
        <f t="shared" si="108"/>
        <v>680</v>
      </c>
      <c r="AV135">
        <f>O135</f>
        <v>1046384</v>
      </c>
      <c r="AW135" s="19">
        <f>VLOOKUP(AU135,'Hazard Weighting Functions'!$B$5:$G$1205,3,FALSE)</f>
        <v>1E-3</v>
      </c>
      <c r="AX135">
        <f t="shared" si="124"/>
        <v>1046.384</v>
      </c>
      <c r="AY135" s="19">
        <f t="shared" si="125"/>
        <v>5257.579999999999</v>
      </c>
      <c r="AZ135" s="20">
        <f t="shared" si="102"/>
        <v>560</v>
      </c>
      <c r="BA135" s="20">
        <f t="shared" si="103"/>
        <v>679530.39999999991</v>
      </c>
      <c r="BB135" s="19">
        <f>VLOOKUP(AZ135,'Hazard Weighting Functions'!$B$5:$G$1205,3,FALSE)</f>
        <v>6.0000000000000001E-3</v>
      </c>
      <c r="BC135">
        <f t="shared" si="126"/>
        <v>4077.1823999999997</v>
      </c>
      <c r="BD135" s="19">
        <f t="shared" si="127"/>
        <v>18896.475999999999</v>
      </c>
      <c r="BF135" s="20">
        <f t="shared" ref="BF135:BG135" si="178">H225</f>
        <v>880</v>
      </c>
      <c r="BG135" s="20">
        <f t="shared" si="178"/>
        <v>150.58699999999999</v>
      </c>
      <c r="BH135" s="19">
        <f>VLOOKUP(BF135,'Hazard Weighting Functions'!$B$5:$G$1205,4,FALSE)</f>
        <v>0.437</v>
      </c>
      <c r="BI135" s="19">
        <f t="shared" si="129"/>
        <v>65.806518999999994</v>
      </c>
      <c r="BJ135" s="19">
        <f t="shared" si="130"/>
        <v>325.20920750000005</v>
      </c>
      <c r="BK135" s="1">
        <f t="shared" si="105"/>
        <v>680</v>
      </c>
      <c r="BL135" s="20">
        <f t="shared" si="106"/>
        <v>1046384</v>
      </c>
      <c r="BM135">
        <f>VLOOKUP(BK135,'Hazard Weighting Functions'!$B$5:$G$1205,4,FALSE)</f>
        <v>1</v>
      </c>
      <c r="BN135">
        <f t="shared" si="131"/>
        <v>1046384</v>
      </c>
      <c r="BO135" s="19">
        <f t="shared" si="176"/>
        <v>5257580</v>
      </c>
      <c r="BP135" s="20">
        <f t="shared" si="107"/>
        <v>560</v>
      </c>
      <c r="BQ135" s="20">
        <f t="shared" si="107"/>
        <v>679530.39999999991</v>
      </c>
      <c r="BR135" s="19">
        <f>VLOOKUP(BP135,'Hazard Weighting Functions'!$B$5:$G$1205,4,FALSE)</f>
        <v>1</v>
      </c>
      <c r="BS135" s="19">
        <f t="shared" si="132"/>
        <v>679530.39999999991</v>
      </c>
      <c r="BT135" s="19">
        <f t="shared" si="133"/>
        <v>3439530</v>
      </c>
      <c r="BV135">
        <f>VLOOKUP(BK135,'Hazard Weighting Functions'!$B$5:$G$1205,5,FALSE)</f>
        <v>1.7000000000000001E-2</v>
      </c>
      <c r="BW135" s="24">
        <f t="shared" si="134"/>
        <v>17788.528000000002</v>
      </c>
      <c r="BX135" s="24">
        <f t="shared" si="135"/>
        <v>75959.430399999997</v>
      </c>
    </row>
    <row r="136" spans="2:76">
      <c r="B136">
        <v>435</v>
      </c>
      <c r="C136" s="36">
        <v>29.849299999999999</v>
      </c>
      <c r="E136">
        <v>435</v>
      </c>
      <c r="F136" s="36">
        <v>29.849299999999999</v>
      </c>
      <c r="H136" s="19">
        <v>435</v>
      </c>
      <c r="I136" s="36">
        <v>29.849299999999999</v>
      </c>
      <c r="K136">
        <v>1535</v>
      </c>
      <c r="L136" s="36">
        <f>902.319552*(1628/1602)</f>
        <v>916.96393923595508</v>
      </c>
      <c r="N136">
        <v>685</v>
      </c>
      <c r="O136" s="36">
        <v>1056647.9999999998</v>
      </c>
      <c r="Q136" s="20">
        <v>565</v>
      </c>
      <c r="R136" s="37">
        <v>696281.59999999998</v>
      </c>
      <c r="V136">
        <f t="shared" si="110"/>
        <v>435</v>
      </c>
      <c r="W136">
        <f t="shared" si="111"/>
        <v>29.849299999999999</v>
      </c>
      <c r="Y136">
        <f t="shared" si="112"/>
        <v>435</v>
      </c>
      <c r="Z136">
        <f t="shared" si="113"/>
        <v>29.849299999999999</v>
      </c>
      <c r="AA136">
        <f>VLOOKUP(Y136,'Hazard Weighting Functions'!$B$5:$G$1205,2,FALSE)</f>
        <v>0</v>
      </c>
      <c r="AB136">
        <f t="shared" si="114"/>
        <v>0</v>
      </c>
      <c r="AC136">
        <f t="shared" si="115"/>
        <v>0</v>
      </c>
      <c r="AE136">
        <f>VLOOKUP(Y136,'Hazard Weighting Functions'!$B$5:$G$1205,3,FALSE)</f>
        <v>1</v>
      </c>
      <c r="AF136">
        <f t="shared" si="117"/>
        <v>29.849299999999999</v>
      </c>
      <c r="AG136">
        <f t="shared" si="118"/>
        <v>153.80574999999999</v>
      </c>
      <c r="AH136">
        <f>VLOOKUP(Y136,'Hazard Weighting Functions'!$B$5:$G$1205,5,FALSE)</f>
        <v>1.6840000000000001E-2</v>
      </c>
      <c r="AI136">
        <f t="shared" si="119"/>
        <v>0.50266221200000005</v>
      </c>
      <c r="AJ136">
        <f t="shared" si="120"/>
        <v>3.07785303</v>
      </c>
      <c r="AM136">
        <f t="shared" si="161"/>
        <v>153.80574999999999</v>
      </c>
      <c r="AP136" s="20">
        <f>'IEC_EN62471- Halogen non-GLS'!E186</f>
        <v>685</v>
      </c>
      <c r="AQ136" s="20">
        <f t="shared" si="121"/>
        <v>132.08100000000002</v>
      </c>
      <c r="AR136">
        <f>VLOOKUP(AP136,'Hazard Weighting Functions'!$B$5:$G$1205,3,FALSE)</f>
        <v>1E-3</v>
      </c>
      <c r="AS136">
        <f t="shared" si="122"/>
        <v>0.13208100000000003</v>
      </c>
      <c r="AT136">
        <f t="shared" si="123"/>
        <v>0.66355500000000012</v>
      </c>
      <c r="AU136" s="20">
        <f t="shared" si="108"/>
        <v>685</v>
      </c>
      <c r="AV136">
        <f>O136</f>
        <v>1056647.9999999998</v>
      </c>
      <c r="AW136" s="19">
        <f>VLOOKUP(AU136,'Hazard Weighting Functions'!$B$5:$G$1205,3,FALSE)</f>
        <v>1E-3</v>
      </c>
      <c r="AX136">
        <f t="shared" si="124"/>
        <v>1056.6479999999997</v>
      </c>
      <c r="AY136" s="19">
        <f t="shared" si="125"/>
        <v>5308.44</v>
      </c>
      <c r="AZ136" s="20">
        <f t="shared" si="102"/>
        <v>565</v>
      </c>
      <c r="BA136" s="20">
        <f t="shared" si="103"/>
        <v>696281.59999999998</v>
      </c>
      <c r="BB136" s="19">
        <f>VLOOKUP(AZ136,'Hazard Weighting Functions'!$B$5:$G$1205,3,FALSE)</f>
        <v>5.0000000000000001E-3</v>
      </c>
      <c r="BC136">
        <f t="shared" si="126"/>
        <v>3481.4079999999999</v>
      </c>
      <c r="BD136" s="19">
        <f t="shared" si="127"/>
        <v>15848.456000000002</v>
      </c>
      <c r="BF136" s="20">
        <f t="shared" ref="BF136:BG136" si="179">H226</f>
        <v>885</v>
      </c>
      <c r="BG136" s="20">
        <f t="shared" si="179"/>
        <v>150.53200000000004</v>
      </c>
      <c r="BH136" s="19">
        <f>VLOOKUP(BF136,'Hazard Weighting Functions'!$B$5:$G$1205,4,FALSE)</f>
        <v>0.42699999999999999</v>
      </c>
      <c r="BI136" s="19">
        <f t="shared" si="129"/>
        <v>64.277164000000013</v>
      </c>
      <c r="BJ136" s="19">
        <f t="shared" si="130"/>
        <v>317.53912000000003</v>
      </c>
      <c r="BK136" s="1">
        <f t="shared" si="105"/>
        <v>685</v>
      </c>
      <c r="BL136" s="20">
        <f t="shared" si="106"/>
        <v>1056647.9999999998</v>
      </c>
      <c r="BM136">
        <f>VLOOKUP(BK136,'Hazard Weighting Functions'!$B$5:$G$1205,4,FALSE)</f>
        <v>1</v>
      </c>
      <c r="BN136">
        <f t="shared" si="131"/>
        <v>1056647.9999999998</v>
      </c>
      <c r="BO136" s="19">
        <f t="shared" si="176"/>
        <v>5308440</v>
      </c>
      <c r="BP136" s="20">
        <f t="shared" si="107"/>
        <v>565</v>
      </c>
      <c r="BQ136" s="20">
        <f t="shared" si="107"/>
        <v>696281.59999999998</v>
      </c>
      <c r="BR136" s="19">
        <f>VLOOKUP(BP136,'Hazard Weighting Functions'!$B$5:$G$1205,4,FALSE)</f>
        <v>1</v>
      </c>
      <c r="BS136" s="19">
        <f t="shared" si="132"/>
        <v>696281.59999999998</v>
      </c>
      <c r="BT136" s="19">
        <f t="shared" si="133"/>
        <v>3526938</v>
      </c>
      <c r="BV136">
        <f>VLOOKUP(BK136,'Hazard Weighting Functions'!$B$5:$G$1205,5,FALSE)</f>
        <v>1.192E-2</v>
      </c>
      <c r="BW136" s="24">
        <f t="shared" si="134"/>
        <v>12595.244159999997</v>
      </c>
      <c r="BX136" s="24">
        <f t="shared" si="135"/>
        <v>53382.70259999999</v>
      </c>
    </row>
    <row r="137" spans="2:76">
      <c r="B137">
        <v>440</v>
      </c>
      <c r="C137" s="36">
        <v>31.672999999999998</v>
      </c>
      <c r="E137">
        <v>440</v>
      </c>
      <c r="F137" s="36">
        <v>31.672999999999998</v>
      </c>
      <c r="H137" s="19">
        <v>440</v>
      </c>
      <c r="I137" s="36">
        <v>31.672999999999998</v>
      </c>
      <c r="K137">
        <v>1540</v>
      </c>
      <c r="L137" s="36">
        <f>895.6983*(1628/1602)</f>
        <v>910.2352262172285</v>
      </c>
      <c r="N137">
        <v>690</v>
      </c>
      <c r="O137" s="36">
        <v>1066728</v>
      </c>
      <c r="Q137" s="20">
        <v>570</v>
      </c>
      <c r="R137" s="37">
        <v>714493.6</v>
      </c>
      <c r="V137">
        <f t="shared" si="110"/>
        <v>440</v>
      </c>
      <c r="W137">
        <f t="shared" si="111"/>
        <v>31.672999999999998</v>
      </c>
      <c r="Y137">
        <f t="shared" si="112"/>
        <v>440</v>
      </c>
      <c r="Z137">
        <f t="shared" si="113"/>
        <v>31.672999999999998</v>
      </c>
      <c r="AA137">
        <f>VLOOKUP(Y137,'Hazard Weighting Functions'!$B$5:$G$1205,2,FALSE)</f>
        <v>0</v>
      </c>
      <c r="AB137">
        <f t="shared" si="114"/>
        <v>0</v>
      </c>
      <c r="AC137">
        <f t="shared" si="115"/>
        <v>0</v>
      </c>
      <c r="AE137">
        <f>VLOOKUP(Y137,'Hazard Weighting Functions'!$B$5:$G$1205,3,FALSE)</f>
        <v>1</v>
      </c>
      <c r="AF137">
        <f t="shared" si="117"/>
        <v>31.672999999999998</v>
      </c>
      <c r="AG137">
        <f>0.5*(Y138-Y137)*(AF137+AF138)</f>
        <v>160.58611249999998</v>
      </c>
      <c r="AH137">
        <f>VLOOKUP(Y137,'Hazard Weighting Functions'!$B$5:$G$1205,5,FALSE)</f>
        <v>2.3E-2</v>
      </c>
      <c r="AI137">
        <f t="shared" si="119"/>
        <v>0.72847899999999999</v>
      </c>
      <c r="AJ137">
        <f t="shared" si="120"/>
        <v>4.3220507500000007</v>
      </c>
      <c r="AM137">
        <f t="shared" si="161"/>
        <v>163.10374999999999</v>
      </c>
      <c r="AP137" s="20">
        <f>'IEC_EN62471- Halogen non-GLS'!E187</f>
        <v>690</v>
      </c>
      <c r="AQ137" s="20">
        <f t="shared" si="121"/>
        <v>133.34100000000001</v>
      </c>
      <c r="AR137">
        <f>VLOOKUP(AP137,'Hazard Weighting Functions'!$B$5:$G$1205,3,FALSE)</f>
        <v>1E-3</v>
      </c>
      <c r="AS137">
        <f t="shared" si="122"/>
        <v>0.13334100000000002</v>
      </c>
      <c r="AT137">
        <f t="shared" si="123"/>
        <v>0.66999750000000002</v>
      </c>
      <c r="AU137" s="20">
        <f t="shared" si="108"/>
        <v>690</v>
      </c>
      <c r="AV137">
        <f>O137</f>
        <v>1066728</v>
      </c>
      <c r="AW137" s="19">
        <f>VLOOKUP(AU137,'Hazard Weighting Functions'!$B$5:$G$1205,3,FALSE)</f>
        <v>1E-3</v>
      </c>
      <c r="AX137">
        <f t="shared" si="124"/>
        <v>1066.7280000000001</v>
      </c>
      <c r="AY137" s="19">
        <f t="shared" si="125"/>
        <v>5359.9800000000005</v>
      </c>
      <c r="AZ137" s="20">
        <f t="shared" si="102"/>
        <v>570</v>
      </c>
      <c r="BA137" s="20">
        <f t="shared" si="103"/>
        <v>714493.6</v>
      </c>
      <c r="BB137" s="19">
        <f>VLOOKUP(AZ137,'Hazard Weighting Functions'!$B$5:$G$1205,3,FALSE)</f>
        <v>4.0000000000000001E-3</v>
      </c>
      <c r="BC137">
        <f t="shared" si="126"/>
        <v>2857.9744000000001</v>
      </c>
      <c r="BD137" s="19">
        <f t="shared" si="127"/>
        <v>12646.894</v>
      </c>
      <c r="BF137" s="20">
        <f t="shared" ref="BF137:BG137" si="180">H227</f>
        <v>890</v>
      </c>
      <c r="BG137" s="20">
        <f t="shared" si="180"/>
        <v>150.452</v>
      </c>
      <c r="BH137" s="19">
        <f>VLOOKUP(BF137,'Hazard Weighting Functions'!$B$5:$G$1205,4,FALSE)</f>
        <v>0.41699999999999998</v>
      </c>
      <c r="BI137" s="19">
        <f t="shared" si="129"/>
        <v>62.738484</v>
      </c>
      <c r="BJ137" s="19">
        <f t="shared" si="130"/>
        <v>309.82428249999998</v>
      </c>
      <c r="BK137" s="1">
        <f t="shared" si="105"/>
        <v>690</v>
      </c>
      <c r="BL137" s="20">
        <f t="shared" si="106"/>
        <v>1066728</v>
      </c>
      <c r="BM137">
        <f>VLOOKUP(BK137,'Hazard Weighting Functions'!$B$5:$G$1205,4,FALSE)</f>
        <v>1</v>
      </c>
      <c r="BN137">
        <f t="shared" si="131"/>
        <v>1066728</v>
      </c>
      <c r="BO137" s="19">
        <f t="shared" si="176"/>
        <v>5359980</v>
      </c>
      <c r="BP137" s="20">
        <f t="shared" si="107"/>
        <v>570</v>
      </c>
      <c r="BQ137" s="20">
        <f t="shared" si="107"/>
        <v>714493.6</v>
      </c>
      <c r="BR137" s="19">
        <f>VLOOKUP(BP137,'Hazard Weighting Functions'!$B$5:$G$1205,4,FALSE)</f>
        <v>1</v>
      </c>
      <c r="BS137" s="19">
        <f t="shared" si="132"/>
        <v>714493.6</v>
      </c>
      <c r="BT137" s="19">
        <f t="shared" si="133"/>
        <v>3620220</v>
      </c>
      <c r="BV137">
        <f>VLOOKUP(BK137,'Hazard Weighting Functions'!$B$5:$G$1205,5,FALSE)</f>
        <v>8.2100000000000003E-3</v>
      </c>
      <c r="BW137" s="24">
        <f t="shared" si="134"/>
        <v>8757.8368800000007</v>
      </c>
      <c r="BX137" s="24">
        <f t="shared" si="135"/>
        <v>37307.546880000002</v>
      </c>
    </row>
    <row r="138" spans="2:76">
      <c r="B138">
        <v>445</v>
      </c>
      <c r="C138" s="36">
        <v>33.5685</v>
      </c>
      <c r="E138">
        <v>445</v>
      </c>
      <c r="F138" s="36">
        <v>33.5685</v>
      </c>
      <c r="H138" s="19">
        <v>445</v>
      </c>
      <c r="I138" s="36">
        <v>33.5685</v>
      </c>
      <c r="K138">
        <v>1545</v>
      </c>
      <c r="L138" s="36">
        <f>889.117836*(1628/1602)</f>
        <v>903.54796317602995</v>
      </c>
      <c r="N138">
        <v>695</v>
      </c>
      <c r="O138" s="36">
        <v>1077263.9999999998</v>
      </c>
      <c r="Q138" s="20">
        <v>575</v>
      </c>
      <c r="R138" s="37">
        <v>733594.39999999991</v>
      </c>
      <c r="V138">
        <f t="shared" si="110"/>
        <v>445</v>
      </c>
      <c r="W138">
        <f t="shared" si="111"/>
        <v>33.5685</v>
      </c>
      <c r="Y138">
        <f t="shared" si="112"/>
        <v>445</v>
      </c>
      <c r="Z138">
        <f t="shared" si="113"/>
        <v>33.5685</v>
      </c>
      <c r="AA138">
        <f>VLOOKUP(Y138,'Hazard Weighting Functions'!$B$5:$G$1205,2,FALSE)</f>
        <v>0</v>
      </c>
      <c r="AB138">
        <f t="shared" si="114"/>
        <v>0</v>
      </c>
      <c r="AC138">
        <f t="shared" si="115"/>
        <v>0</v>
      </c>
      <c r="AE138">
        <f>VLOOKUP(Y138,'Hazard Weighting Functions'!$B$5:$G$1205,3,FALSE)</f>
        <v>0.97</v>
      </c>
      <c r="AF138">
        <f t="shared" si="117"/>
        <v>32.561444999999999</v>
      </c>
      <c r="AG138">
        <f t="shared" si="118"/>
        <v>164.81333749999999</v>
      </c>
      <c r="AH138">
        <f>VLOOKUP(Y138,'Hazard Weighting Functions'!$B$5:$G$1205,5,FALSE)</f>
        <v>2.98E-2</v>
      </c>
      <c r="AI138">
        <f t="shared" si="119"/>
        <v>1.0003413000000001</v>
      </c>
      <c r="AJ138">
        <f t="shared" si="120"/>
        <v>5.8727357500000004</v>
      </c>
      <c r="AM138">
        <f t="shared" si="161"/>
        <v>172.655</v>
      </c>
      <c r="AP138" s="20">
        <f>'IEC_EN62471- Halogen non-GLS'!E188</f>
        <v>695</v>
      </c>
      <c r="AQ138" s="20">
        <f t="shared" si="121"/>
        <v>134.65799999999999</v>
      </c>
      <c r="AR138">
        <f>VLOOKUP(AP138,'Hazard Weighting Functions'!$B$5:$G$1205,3,FALSE)</f>
        <v>1E-3</v>
      </c>
      <c r="AS138">
        <f t="shared" si="122"/>
        <v>0.134658</v>
      </c>
      <c r="AT138">
        <f t="shared" si="123"/>
        <v>0.67630000000000012</v>
      </c>
      <c r="AU138" s="20">
        <f t="shared" si="108"/>
        <v>695</v>
      </c>
      <c r="AV138">
        <f>O138</f>
        <v>1077263.9999999998</v>
      </c>
      <c r="AW138" s="19">
        <f>VLOOKUP(AU138,'Hazard Weighting Functions'!$B$5:$G$1205,3,FALSE)</f>
        <v>1E-3</v>
      </c>
      <c r="AX138">
        <f t="shared" si="124"/>
        <v>1077.2639999999999</v>
      </c>
      <c r="AY138" s="19">
        <f t="shared" si="125"/>
        <v>5410.4</v>
      </c>
      <c r="AZ138" s="20">
        <f t="shared" si="102"/>
        <v>575</v>
      </c>
      <c r="BA138" s="20">
        <f t="shared" si="103"/>
        <v>733594.39999999991</v>
      </c>
      <c r="BB138" s="19">
        <f>VLOOKUP(AZ138,'Hazard Weighting Functions'!$B$5:$G$1205,3,FALSE)</f>
        <v>3.0000000000000001E-3</v>
      </c>
      <c r="BC138">
        <f t="shared" si="126"/>
        <v>2200.7831999999999</v>
      </c>
      <c r="BD138" s="19">
        <f t="shared" si="127"/>
        <v>9260.4220000000005</v>
      </c>
      <c r="BF138" s="20">
        <f t="shared" ref="BF138:BG138" si="181">H228</f>
        <v>895</v>
      </c>
      <c r="BG138" s="20">
        <f t="shared" si="181"/>
        <v>150.34700000000001</v>
      </c>
      <c r="BH138" s="19">
        <f>VLOOKUP(BF138,'Hazard Weighting Functions'!$B$5:$G$1205,4,FALSE)</f>
        <v>0.40699999999999997</v>
      </c>
      <c r="BI138" s="19">
        <f t="shared" si="129"/>
        <v>61.191229</v>
      </c>
      <c r="BJ138" s="19">
        <f t="shared" si="130"/>
        <v>302.44498249999998</v>
      </c>
      <c r="BK138" s="1">
        <f t="shared" si="105"/>
        <v>695</v>
      </c>
      <c r="BL138" s="20">
        <f t="shared" si="106"/>
        <v>1077263.9999999998</v>
      </c>
      <c r="BM138">
        <f>VLOOKUP(BK138,'Hazard Weighting Functions'!$B$5:$G$1205,4,FALSE)</f>
        <v>1</v>
      </c>
      <c r="BN138">
        <f t="shared" si="131"/>
        <v>1077263.9999999998</v>
      </c>
      <c r="BO138" s="19">
        <f t="shared" si="176"/>
        <v>5410399.9999999991</v>
      </c>
      <c r="BP138" s="20">
        <f t="shared" si="107"/>
        <v>575</v>
      </c>
      <c r="BQ138" s="20">
        <f t="shared" si="107"/>
        <v>733594.39999999991</v>
      </c>
      <c r="BR138" s="19">
        <f>VLOOKUP(BP138,'Hazard Weighting Functions'!$B$5:$G$1205,4,FALSE)</f>
        <v>1</v>
      </c>
      <c r="BS138" s="19">
        <f t="shared" si="132"/>
        <v>733594.39999999991</v>
      </c>
      <c r="BT138" s="19">
        <f t="shared" si="133"/>
        <v>3713218</v>
      </c>
      <c r="BV138">
        <f>VLOOKUP(BK138,'Hazard Weighting Functions'!$B$5:$G$1205,5,FALSE)</f>
        <v>5.7229999999999998E-3</v>
      </c>
      <c r="BW138" s="24">
        <f t="shared" si="134"/>
        <v>6165.1818719999983</v>
      </c>
      <c r="BX138" s="24">
        <f t="shared" si="135"/>
        <v>26559.073159999993</v>
      </c>
    </row>
    <row r="139" spans="2:76">
      <c r="B139">
        <v>450</v>
      </c>
      <c r="C139" s="36">
        <v>35.493499999999997</v>
      </c>
      <c r="E139">
        <v>450</v>
      </c>
      <c r="F139" s="36">
        <v>35.493499999999997</v>
      </c>
      <c r="H139" s="19">
        <v>450</v>
      </c>
      <c r="I139" s="36">
        <v>35.493499999999997</v>
      </c>
      <c r="K139">
        <v>1550</v>
      </c>
      <c r="L139" s="36">
        <f>882.576924*(1628/1602)</f>
        <v>896.90089405243441</v>
      </c>
      <c r="N139">
        <v>700</v>
      </c>
      <c r="O139" s="36">
        <v>1086895.9999999998</v>
      </c>
      <c r="Q139" s="20">
        <v>580</v>
      </c>
      <c r="R139" s="37">
        <v>751692.80000000005</v>
      </c>
      <c r="V139">
        <f t="shared" si="110"/>
        <v>450</v>
      </c>
      <c r="W139">
        <f t="shared" si="111"/>
        <v>35.493499999999997</v>
      </c>
      <c r="Y139">
        <f t="shared" si="112"/>
        <v>450</v>
      </c>
      <c r="Z139">
        <f t="shared" si="113"/>
        <v>35.493499999999997</v>
      </c>
      <c r="AA139">
        <f>VLOOKUP(Y139,'Hazard Weighting Functions'!$B$5:$G$1205,2,FALSE)</f>
        <v>0</v>
      </c>
      <c r="AB139">
        <f t="shared" si="114"/>
        <v>0</v>
      </c>
      <c r="AC139">
        <f t="shared" si="115"/>
        <v>0</v>
      </c>
      <c r="AE139">
        <f>VLOOKUP(Y139,'Hazard Weighting Functions'!$B$5:$G$1205,3,FALSE)</f>
        <v>0.94</v>
      </c>
      <c r="AF139">
        <f t="shared" si="117"/>
        <v>33.363889999999998</v>
      </c>
      <c r="AG139">
        <f t="shared" si="118"/>
        <v>167.81734999999998</v>
      </c>
      <c r="AH139">
        <f>VLOOKUP(Y139,'Hazard Weighting Functions'!$B$5:$G$1205,5,FALSE)</f>
        <v>3.7999999999999999E-2</v>
      </c>
      <c r="AI139">
        <f t="shared" si="119"/>
        <v>1.3487529999999999</v>
      </c>
      <c r="AJ139">
        <f t="shared" si="120"/>
        <v>7.8736224999999997</v>
      </c>
      <c r="AM139">
        <f t="shared" si="161"/>
        <v>182.51999999999998</v>
      </c>
      <c r="AP139" s="20">
        <f>'IEC_EN62471- Halogen non-GLS'!E189</f>
        <v>700</v>
      </c>
      <c r="AQ139" s="20">
        <f t="shared" si="121"/>
        <v>135.86200000000002</v>
      </c>
      <c r="AR139">
        <f>VLOOKUP(AP139,'Hazard Weighting Functions'!$B$5:$G$1205,3,FALSE)</f>
        <v>1E-3</v>
      </c>
      <c r="AS139">
        <f t="shared" si="122"/>
        <v>0.13586200000000004</v>
      </c>
      <c r="AU139" s="20">
        <f t="shared" si="108"/>
        <v>700</v>
      </c>
      <c r="AV139">
        <f>O139</f>
        <v>1086895.9999999998</v>
      </c>
      <c r="AW139" s="19">
        <f>VLOOKUP(AU139,'Hazard Weighting Functions'!$B$5:$G$1205,3,FALSE)</f>
        <v>1E-3</v>
      </c>
      <c r="AX139">
        <f t="shared" si="124"/>
        <v>1086.8959999999997</v>
      </c>
      <c r="AZ139" s="20">
        <f t="shared" ref="AZ139:AZ163" si="182">Q139</f>
        <v>580</v>
      </c>
      <c r="BA139" s="20">
        <f t="shared" ref="BA139:BA163" si="183">R139</f>
        <v>751692.80000000005</v>
      </c>
      <c r="BB139" s="19">
        <f>VLOOKUP(AZ139,'Hazard Weighting Functions'!$B$5:$G$1205,3,FALSE)</f>
        <v>2E-3</v>
      </c>
      <c r="BC139" s="19">
        <f t="shared" ref="BC139:BC163" si="184">BA139*BB139</f>
        <v>1503.3856000000001</v>
      </c>
      <c r="BD139" s="19">
        <f t="shared" ref="BD139:BD162" si="185">0.5*(AZ140-AZ139)*(BC139+BC140)</f>
        <v>5680.4320000000007</v>
      </c>
      <c r="BF139" s="20">
        <f t="shared" ref="BF139:BG139" si="186">H229</f>
        <v>900</v>
      </c>
      <c r="BG139" s="20">
        <f t="shared" si="186"/>
        <v>150.21799999999999</v>
      </c>
      <c r="BH139" s="19">
        <f>VLOOKUP(BF139,'Hazard Weighting Functions'!$B$5:$G$1205,4,FALSE)</f>
        <v>0.39800000000000002</v>
      </c>
      <c r="BI139" s="19">
        <f t="shared" si="129"/>
        <v>59.786763999999998</v>
      </c>
      <c r="BJ139" s="19">
        <f t="shared" si="130"/>
        <v>295.4051225</v>
      </c>
      <c r="BK139" s="1">
        <f t="shared" si="105"/>
        <v>700</v>
      </c>
      <c r="BL139" s="20">
        <f t="shared" si="106"/>
        <v>1086895.9999999998</v>
      </c>
      <c r="BM139">
        <f>VLOOKUP(BK139,'Hazard Weighting Functions'!$B$5:$G$1205,4,FALSE)</f>
        <v>1</v>
      </c>
      <c r="BN139">
        <f t="shared" si="131"/>
        <v>1086895.9999999998</v>
      </c>
      <c r="BO139" s="19">
        <f t="shared" si="176"/>
        <v>5393926.8999999994</v>
      </c>
      <c r="BP139" s="20">
        <f t="shared" si="107"/>
        <v>580</v>
      </c>
      <c r="BQ139" s="20">
        <f t="shared" si="107"/>
        <v>751692.80000000005</v>
      </c>
      <c r="BR139" s="19">
        <f>VLOOKUP(BP139,'Hazard Weighting Functions'!$B$5:$G$1205,4,FALSE)</f>
        <v>1</v>
      </c>
      <c r="BS139" s="19">
        <f t="shared" si="132"/>
        <v>751692.80000000005</v>
      </c>
      <c r="BT139" s="19">
        <f t="shared" si="133"/>
        <v>3801200</v>
      </c>
      <c r="BV139">
        <f>VLOOKUP(BK139,'Hazard Weighting Functions'!$B$5:$G$1205,5,FALSE)</f>
        <v>4.1019999999999997E-3</v>
      </c>
      <c r="BW139" s="24">
        <f t="shared" si="134"/>
        <v>4458.4473919999991</v>
      </c>
      <c r="BX139" s="24">
        <f t="shared" si="135"/>
        <v>19170.699779999999</v>
      </c>
    </row>
    <row r="140" spans="2:76">
      <c r="B140">
        <v>455</v>
      </c>
      <c r="C140" s="36">
        <v>37.514499999999998</v>
      </c>
      <c r="E140">
        <v>455</v>
      </c>
      <c r="F140" s="36">
        <v>37.514499999999998</v>
      </c>
      <c r="H140" s="19">
        <v>455</v>
      </c>
      <c r="I140" s="36">
        <v>37.514499999999998</v>
      </c>
      <c r="K140">
        <v>1555</v>
      </c>
      <c r="L140" s="36">
        <f>876.075564*(1628/1602)</f>
        <v>890.29401884644199</v>
      </c>
      <c r="N140">
        <v>705</v>
      </c>
      <c r="O140" s="36">
        <v>1095880</v>
      </c>
      <c r="Q140" s="20">
        <v>585</v>
      </c>
      <c r="R140" s="37">
        <v>768787.2</v>
      </c>
      <c r="V140">
        <f t="shared" si="110"/>
        <v>455</v>
      </c>
      <c r="W140">
        <f t="shared" si="111"/>
        <v>37.514499999999998</v>
      </c>
      <c r="Y140">
        <f t="shared" si="112"/>
        <v>455</v>
      </c>
      <c r="Z140">
        <f t="shared" si="113"/>
        <v>37.514499999999998</v>
      </c>
      <c r="AA140">
        <f>VLOOKUP(Y140,'Hazard Weighting Functions'!$B$5:$G$1205,2,FALSE)</f>
        <v>0</v>
      </c>
      <c r="AB140">
        <f t="shared" si="114"/>
        <v>0</v>
      </c>
      <c r="AC140">
        <f t="shared" si="115"/>
        <v>0</v>
      </c>
      <c r="AE140">
        <f>VLOOKUP(Y140,'Hazard Weighting Functions'!$B$5:$G$1205,3,FALSE)</f>
        <v>0.9</v>
      </c>
      <c r="AF140">
        <f t="shared" si="117"/>
        <v>33.76305</v>
      </c>
      <c r="AG140">
        <f t="shared" si="118"/>
        <v>163.65022500000003</v>
      </c>
      <c r="AH140">
        <f>VLOOKUP(Y140,'Hazard Weighting Functions'!$B$5:$G$1205,5,FALSE)</f>
        <v>4.8000000000000001E-2</v>
      </c>
      <c r="AI140">
        <f t="shared" si="119"/>
        <v>1.8006959999999999</v>
      </c>
      <c r="AJ140">
        <f t="shared" si="120"/>
        <v>10.444934999999999</v>
      </c>
      <c r="AM140">
        <f t="shared" si="161"/>
        <v>192.83949999999999</v>
      </c>
      <c r="AZ140" s="20">
        <f t="shared" si="182"/>
        <v>585</v>
      </c>
      <c r="BA140" s="20">
        <f t="shared" si="183"/>
        <v>768787.2</v>
      </c>
      <c r="BB140" s="19">
        <f>VLOOKUP(AZ140,'Hazard Weighting Functions'!$B$5:$G$1205,3,FALSE)</f>
        <v>1E-3</v>
      </c>
      <c r="BC140" s="19">
        <f t="shared" si="184"/>
        <v>768.78719999999998</v>
      </c>
      <c r="BD140" s="19">
        <f t="shared" si="185"/>
        <v>3885.88</v>
      </c>
      <c r="BF140" s="20">
        <f t="shared" ref="BF140:BG140" si="187">H230</f>
        <v>905</v>
      </c>
      <c r="BG140" s="20">
        <f t="shared" si="187"/>
        <v>150.065</v>
      </c>
      <c r="BH140" s="19">
        <f>VLOOKUP(BF140,'Hazard Weighting Functions'!$B$5:$G$1205,4,FALSE)</f>
        <v>0.38900000000000001</v>
      </c>
      <c r="BI140" s="19">
        <f t="shared" si="129"/>
        <v>58.375284999999998</v>
      </c>
      <c r="BJ140" s="19">
        <f t="shared" si="130"/>
        <v>288.33181250000001</v>
      </c>
      <c r="BK140" s="1">
        <f t="shared" si="105"/>
        <v>705</v>
      </c>
      <c r="BL140" s="20">
        <f t="shared" si="106"/>
        <v>1095880</v>
      </c>
      <c r="BM140">
        <f>VLOOKUP(BK140,'Hazard Weighting Functions'!$B$5:$G$1205,4,FALSE)</f>
        <v>0.97699999999999998</v>
      </c>
      <c r="BN140">
        <f t="shared" si="131"/>
        <v>1070674.76</v>
      </c>
      <c r="BO140" s="19">
        <f t="shared" si="176"/>
        <v>5312238.5999999987</v>
      </c>
      <c r="BP140" s="20">
        <f t="shared" si="107"/>
        <v>585</v>
      </c>
      <c r="BQ140" s="20">
        <f t="shared" si="107"/>
        <v>768787.2</v>
      </c>
      <c r="BR140" s="19">
        <f>VLOOKUP(BP140,'Hazard Weighting Functions'!$B$5:$G$1205,4,FALSE)</f>
        <v>1</v>
      </c>
      <c r="BS140" s="19">
        <f t="shared" si="132"/>
        <v>768787.2</v>
      </c>
      <c r="BT140" s="19">
        <f t="shared" si="133"/>
        <v>3885880</v>
      </c>
      <c r="BV140">
        <f>VLOOKUP(BK140,'Hazard Weighting Functions'!$B$5:$G$1205,5,FALSE)</f>
        <v>2.9290000000000002E-3</v>
      </c>
      <c r="BW140" s="24">
        <f t="shared" si="134"/>
        <v>3209.8325200000004</v>
      </c>
      <c r="BX140" s="24">
        <f t="shared" si="135"/>
        <v>13795.197640000002</v>
      </c>
    </row>
    <row r="141" spans="2:76">
      <c r="B141">
        <v>460</v>
      </c>
      <c r="C141" s="36">
        <v>39.621299999999998</v>
      </c>
      <c r="E141">
        <v>460</v>
      </c>
      <c r="F141" s="36">
        <v>39.621299999999998</v>
      </c>
      <c r="H141" s="19">
        <v>460</v>
      </c>
      <c r="I141" s="36">
        <v>39.621299999999998</v>
      </c>
      <c r="K141">
        <v>1560</v>
      </c>
      <c r="L141" s="36">
        <f>869.614992*(1628/1602)</f>
        <v>883.72859361797759</v>
      </c>
      <c r="N141">
        <v>710</v>
      </c>
      <c r="O141" s="36">
        <v>1103895.9999999998</v>
      </c>
      <c r="Q141" s="20">
        <v>590</v>
      </c>
      <c r="R141" s="37">
        <v>785564.8</v>
      </c>
      <c r="V141">
        <f t="shared" si="110"/>
        <v>460</v>
      </c>
      <c r="W141">
        <f t="shared" si="111"/>
        <v>39.621299999999998</v>
      </c>
      <c r="Y141">
        <f t="shared" si="112"/>
        <v>460</v>
      </c>
      <c r="Z141">
        <f t="shared" si="113"/>
        <v>39.621299999999998</v>
      </c>
      <c r="AA141">
        <f>VLOOKUP(Y141,'Hazard Weighting Functions'!$B$5:$G$1205,2,FALSE)</f>
        <v>0</v>
      </c>
      <c r="AB141">
        <f t="shared" si="114"/>
        <v>0</v>
      </c>
      <c r="AC141">
        <f t="shared" si="115"/>
        <v>0</v>
      </c>
      <c r="AE141">
        <f>VLOOKUP(Y141,'Hazard Weighting Functions'!$B$5:$G$1205,3,FALSE)</f>
        <v>0.8</v>
      </c>
      <c r="AF141">
        <f t="shared" si="117"/>
        <v>31.697040000000001</v>
      </c>
      <c r="AG141">
        <f t="shared" si="118"/>
        <v>152.224425</v>
      </c>
      <c r="AH141">
        <f>VLOOKUP(Y141,'Hazard Weighting Functions'!$B$5:$G$1205,5,FALSE)</f>
        <v>0.06</v>
      </c>
      <c r="AI141">
        <f t="shared" si="119"/>
        <v>2.377278</v>
      </c>
      <c r="AJ141">
        <f t="shared" si="120"/>
        <v>13.647990525000001</v>
      </c>
      <c r="AM141">
        <f t="shared" si="161"/>
        <v>203.31299999999999</v>
      </c>
      <c r="AZ141" s="20">
        <f t="shared" si="182"/>
        <v>590</v>
      </c>
      <c r="BA141" s="20">
        <f t="shared" si="183"/>
        <v>785564.8</v>
      </c>
      <c r="BB141" s="19">
        <f>VLOOKUP(AZ141,'Hazard Weighting Functions'!$B$5:$G$1205,3,FALSE)</f>
        <v>1E-3</v>
      </c>
      <c r="BC141" s="19">
        <f t="shared" si="184"/>
        <v>785.5648000000001</v>
      </c>
      <c r="BD141" s="19">
        <f t="shared" si="185"/>
        <v>3972.692</v>
      </c>
      <c r="BF141" s="20">
        <f t="shared" ref="BF141:BG141" si="188">H231</f>
        <v>910</v>
      </c>
      <c r="BG141" s="20">
        <f t="shared" si="188"/>
        <v>149.88800000000003</v>
      </c>
      <c r="BH141" s="19">
        <f>VLOOKUP(BF141,'Hazard Weighting Functions'!$B$5:$G$1205,4,FALSE)</f>
        <v>0.38</v>
      </c>
      <c r="BI141" s="19">
        <f t="shared" si="129"/>
        <v>56.957440000000013</v>
      </c>
      <c r="BJ141" s="19">
        <f t="shared" si="130"/>
        <v>281.60437000000002</v>
      </c>
      <c r="BK141" s="1">
        <f t="shared" si="105"/>
        <v>710</v>
      </c>
      <c r="BL141" s="20">
        <f t="shared" si="106"/>
        <v>1103895.9999999998</v>
      </c>
      <c r="BM141">
        <f>VLOOKUP(BK141,'Hazard Weighting Functions'!$B$5:$G$1205,4,FALSE)</f>
        <v>0.95499999999999996</v>
      </c>
      <c r="BN141">
        <f t="shared" si="131"/>
        <v>1054220.6799999997</v>
      </c>
      <c r="BO141" s="19">
        <f t="shared" si="176"/>
        <v>5228452</v>
      </c>
      <c r="BP141" s="20">
        <f t="shared" si="107"/>
        <v>590</v>
      </c>
      <c r="BQ141" s="20">
        <f t="shared" si="107"/>
        <v>785564.8</v>
      </c>
      <c r="BR141" s="19">
        <f>VLOOKUP(BP141,'Hazard Weighting Functions'!$B$5:$G$1205,4,FALSE)</f>
        <v>1</v>
      </c>
      <c r="BS141" s="19">
        <f t="shared" si="132"/>
        <v>785564.8</v>
      </c>
      <c r="BT141" s="19">
        <f t="shared" si="133"/>
        <v>3972691.9999999995</v>
      </c>
      <c r="BV141">
        <f>VLOOKUP(BK141,'Hazard Weighting Functions'!$B$5:$G$1205,5,FALSE)</f>
        <v>2.091E-3</v>
      </c>
      <c r="BW141" s="24">
        <f t="shared" si="134"/>
        <v>2308.2465359999997</v>
      </c>
      <c r="BX141" s="24">
        <f t="shared" si="135"/>
        <v>9894.8007399999988</v>
      </c>
    </row>
    <row r="142" spans="2:76">
      <c r="B142">
        <v>465</v>
      </c>
      <c r="C142" s="36">
        <v>41.703899999999997</v>
      </c>
      <c r="E142">
        <v>465</v>
      </c>
      <c r="F142" s="36">
        <v>41.703899999999997</v>
      </c>
      <c r="H142" s="19">
        <v>465</v>
      </c>
      <c r="I142" s="36">
        <v>41.703899999999997</v>
      </c>
      <c r="K142">
        <v>1565</v>
      </c>
      <c r="L142" s="36">
        <f>863.193972*(1628/1602)</f>
        <v>877.20336230711609</v>
      </c>
      <c r="N142">
        <v>715</v>
      </c>
      <c r="O142" s="36">
        <v>1111640</v>
      </c>
      <c r="Q142" s="20">
        <v>595</v>
      </c>
      <c r="R142" s="37">
        <v>803511.99999999988</v>
      </c>
      <c r="V142">
        <f t="shared" si="110"/>
        <v>465</v>
      </c>
      <c r="W142">
        <f t="shared" si="111"/>
        <v>41.703899999999997</v>
      </c>
      <c r="Y142">
        <f t="shared" si="112"/>
        <v>465</v>
      </c>
      <c r="Z142">
        <f t="shared" si="113"/>
        <v>41.703899999999997</v>
      </c>
      <c r="AA142">
        <f>VLOOKUP(Y142,'Hazard Weighting Functions'!$B$5:$G$1205,2,FALSE)</f>
        <v>0</v>
      </c>
      <c r="AB142">
        <f t="shared" si="114"/>
        <v>0</v>
      </c>
      <c r="AC142">
        <f t="shared" si="115"/>
        <v>0</v>
      </c>
      <c r="AE142">
        <f>VLOOKUP(Y142,'Hazard Weighting Functions'!$B$5:$G$1205,3,FALSE)</f>
        <v>0.7</v>
      </c>
      <c r="AF142">
        <f t="shared" si="117"/>
        <v>29.192729999999997</v>
      </c>
      <c r="AG142">
        <f t="shared" si="118"/>
        <v>140.93274</v>
      </c>
      <c r="AH142">
        <f>VLOOKUP(Y142,'Hazard Weighting Functions'!$B$5:$G$1205,5,FALSE)</f>
        <v>7.3899999999999993E-2</v>
      </c>
      <c r="AI142">
        <f t="shared" si="119"/>
        <v>3.0819182099999995</v>
      </c>
      <c r="AJ142">
        <f t="shared" si="120"/>
        <v>17.676044310000002</v>
      </c>
      <c r="AM142">
        <f t="shared" si="161"/>
        <v>213.858</v>
      </c>
      <c r="AZ142" s="20">
        <f t="shared" si="182"/>
        <v>595</v>
      </c>
      <c r="BA142" s="20">
        <f t="shared" si="183"/>
        <v>803511.99999999988</v>
      </c>
      <c r="BB142" s="19">
        <f>VLOOKUP(AZ142,'Hazard Weighting Functions'!$B$5:$G$1205,3,FALSE)</f>
        <v>1E-3</v>
      </c>
      <c r="BC142" s="19">
        <f t="shared" si="184"/>
        <v>803.51199999999994</v>
      </c>
      <c r="BD142" s="19">
        <f t="shared" si="185"/>
        <v>4061</v>
      </c>
      <c r="BF142" s="20">
        <f t="shared" ref="BF142:BG142" si="189">H232</f>
        <v>915</v>
      </c>
      <c r="BG142" s="20">
        <f t="shared" si="189"/>
        <v>149.68899999999999</v>
      </c>
      <c r="BH142" s="19">
        <f>VLOOKUP(BF142,'Hazard Weighting Functions'!$B$5:$G$1205,4,FALSE)</f>
        <v>0.372</v>
      </c>
      <c r="BI142" s="19">
        <f t="shared" si="129"/>
        <v>55.684307999999994</v>
      </c>
      <c r="BJ142" s="19">
        <f t="shared" si="130"/>
        <v>274.85297999999995</v>
      </c>
      <c r="BK142" s="1">
        <f t="shared" si="105"/>
        <v>715</v>
      </c>
      <c r="BL142" s="20">
        <f t="shared" si="106"/>
        <v>1111640</v>
      </c>
      <c r="BM142">
        <f>VLOOKUP(BK142,'Hazard Weighting Functions'!$B$5:$G$1205,4,FALSE)</f>
        <v>0.93300000000000005</v>
      </c>
      <c r="BN142">
        <f t="shared" si="131"/>
        <v>1037160.1200000001</v>
      </c>
      <c r="BO142" s="19">
        <f t="shared" si="176"/>
        <v>5143253.58</v>
      </c>
      <c r="BP142" s="20">
        <f t="shared" si="107"/>
        <v>595</v>
      </c>
      <c r="BQ142" s="20">
        <f t="shared" si="107"/>
        <v>803511.99999999988</v>
      </c>
      <c r="BR142" s="19">
        <f>VLOOKUP(BP142,'Hazard Weighting Functions'!$B$5:$G$1205,4,FALSE)</f>
        <v>1</v>
      </c>
      <c r="BS142" s="19">
        <f t="shared" si="132"/>
        <v>803511.99999999988</v>
      </c>
      <c r="BT142" s="19">
        <f t="shared" si="133"/>
        <v>4061000</v>
      </c>
      <c r="BV142">
        <f>VLOOKUP(BK142,'Hazard Weighting Functions'!$B$5:$G$1205,5,FALSE)</f>
        <v>1.4840000000000001E-3</v>
      </c>
      <c r="BW142" s="24">
        <f t="shared" si="134"/>
        <v>1649.6737600000001</v>
      </c>
      <c r="BX142" s="24">
        <f t="shared" si="135"/>
        <v>7052.0570799999996</v>
      </c>
    </row>
    <row r="143" spans="2:76">
      <c r="B143">
        <v>470</v>
      </c>
      <c r="C143" s="36">
        <v>43.839300000000001</v>
      </c>
      <c r="E143">
        <v>470</v>
      </c>
      <c r="F143" s="36">
        <v>43.839300000000001</v>
      </c>
      <c r="H143" s="19">
        <v>470</v>
      </c>
      <c r="I143" s="36">
        <v>43.839300000000001</v>
      </c>
      <c r="K143">
        <v>1570</v>
      </c>
      <c r="L143" s="36">
        <f>856.812504*(1628/1602)</f>
        <v>870.71832491385783</v>
      </c>
      <c r="N143">
        <v>720</v>
      </c>
      <c r="O143" s="36">
        <v>1118576</v>
      </c>
      <c r="Q143" s="20">
        <v>600</v>
      </c>
      <c r="R143" s="37">
        <v>820888</v>
      </c>
      <c r="V143">
        <f t="shared" si="110"/>
        <v>470</v>
      </c>
      <c r="W143">
        <f t="shared" si="111"/>
        <v>43.839300000000001</v>
      </c>
      <c r="Y143">
        <f t="shared" si="112"/>
        <v>470</v>
      </c>
      <c r="Z143">
        <f t="shared" si="113"/>
        <v>43.839300000000001</v>
      </c>
      <c r="AA143">
        <f>VLOOKUP(Y143,'Hazard Weighting Functions'!$B$5:$G$1205,2,FALSE)</f>
        <v>0</v>
      </c>
      <c r="AB143">
        <f t="shared" si="114"/>
        <v>0</v>
      </c>
      <c r="AC143">
        <f t="shared" si="115"/>
        <v>0</v>
      </c>
      <c r="AE143">
        <f>VLOOKUP(Y143,'Hazard Weighting Functions'!$B$5:$G$1205,3,FALSE)</f>
        <v>0.62</v>
      </c>
      <c r="AF143">
        <f t="shared" si="117"/>
        <v>27.180365999999999</v>
      </c>
      <c r="AG143">
        <f t="shared" si="118"/>
        <v>131.16997749999999</v>
      </c>
      <c r="AH143">
        <f>VLOOKUP(Y143,'Hazard Weighting Functions'!$B$5:$G$1205,5,FALSE)</f>
        <v>9.0980000000000005E-2</v>
      </c>
      <c r="AI143">
        <f t="shared" si="119"/>
        <v>3.9884995140000004</v>
      </c>
      <c r="AJ143">
        <f t="shared" si="120"/>
        <v>22.913915035000002</v>
      </c>
      <c r="AM143">
        <f t="shared" si="161"/>
        <v>224.542</v>
      </c>
      <c r="AZ143" s="20">
        <f t="shared" si="182"/>
        <v>600</v>
      </c>
      <c r="BA143" s="20">
        <f t="shared" si="183"/>
        <v>820888</v>
      </c>
      <c r="BB143" s="19">
        <f>VLOOKUP(AZ143,'Hazard Weighting Functions'!$B$5:$G$1205,3,FALSE)</f>
        <v>1E-3</v>
      </c>
      <c r="BC143" s="19">
        <f t="shared" si="184"/>
        <v>820.88800000000003</v>
      </c>
      <c r="BD143" s="19">
        <f t="shared" si="185"/>
        <v>4145.38</v>
      </c>
      <c r="BF143" s="20">
        <f t="shared" ref="BF143:BG143" si="190">H233</f>
        <v>920</v>
      </c>
      <c r="BG143" s="20">
        <f t="shared" si="190"/>
        <v>149.46799999999999</v>
      </c>
      <c r="BH143" s="19">
        <f>VLOOKUP(BF143,'Hazard Weighting Functions'!$B$5:$G$1205,4,FALSE)</f>
        <v>0.36299999999999999</v>
      </c>
      <c r="BI143" s="19">
        <f t="shared" si="129"/>
        <v>54.256883999999992</v>
      </c>
      <c r="BJ143" s="19">
        <f t="shared" si="130"/>
        <v>267.94005999999996</v>
      </c>
      <c r="BK143" s="1">
        <f t="shared" si="105"/>
        <v>720</v>
      </c>
      <c r="BL143" s="20">
        <f t="shared" si="106"/>
        <v>1118576</v>
      </c>
      <c r="BM143">
        <f>VLOOKUP(BK143,'Hazard Weighting Functions'!$B$5:$G$1205,4,FALSE)</f>
        <v>0.91200000000000003</v>
      </c>
      <c r="BN143">
        <f t="shared" si="131"/>
        <v>1020141.312</v>
      </c>
      <c r="BO143" s="19">
        <f t="shared" si="176"/>
        <v>5058785.58</v>
      </c>
      <c r="BP143" s="20">
        <f t="shared" si="107"/>
        <v>600</v>
      </c>
      <c r="BQ143" s="20">
        <f t="shared" si="107"/>
        <v>820888</v>
      </c>
      <c r="BR143" s="19">
        <f>VLOOKUP(BP143,'Hazard Weighting Functions'!$B$5:$G$1205,4,FALSE)</f>
        <v>1</v>
      </c>
      <c r="BS143" s="19">
        <f t="shared" si="132"/>
        <v>820888</v>
      </c>
      <c r="BT143" s="19">
        <f t="shared" si="133"/>
        <v>4145380</v>
      </c>
      <c r="BV143">
        <f>VLOOKUP(BK143,'Hazard Weighting Functions'!$B$5:$G$1205,5,FALSE)</f>
        <v>1.047E-3</v>
      </c>
      <c r="BW143" s="24">
        <f t="shared" si="134"/>
        <v>1171.1490719999999</v>
      </c>
      <c r="BX143" s="24">
        <f t="shared" si="135"/>
        <v>5011.1946799999996</v>
      </c>
    </row>
    <row r="144" spans="2:76">
      <c r="B144">
        <v>475</v>
      </c>
      <c r="C144" s="36">
        <v>45.977499999999999</v>
      </c>
      <c r="E144">
        <v>475</v>
      </c>
      <c r="F144" s="36">
        <v>45.977499999999999</v>
      </c>
      <c r="H144" s="19">
        <v>475</v>
      </c>
      <c r="I144" s="36">
        <v>45.977499999999999</v>
      </c>
      <c r="K144">
        <v>1575</v>
      </c>
      <c r="L144" s="36">
        <f>850.471824*(1628/1602)</f>
        <v>864.27473749812748</v>
      </c>
      <c r="N144">
        <v>725</v>
      </c>
      <c r="O144" s="36">
        <v>1126119.9999999998</v>
      </c>
      <c r="Q144" s="20">
        <v>605</v>
      </c>
      <c r="R144" s="37">
        <v>837264</v>
      </c>
      <c r="V144">
        <f t="shared" si="110"/>
        <v>475</v>
      </c>
      <c r="W144">
        <f t="shared" si="111"/>
        <v>45.977499999999999</v>
      </c>
      <c r="Y144">
        <f t="shared" si="112"/>
        <v>475</v>
      </c>
      <c r="Z144">
        <f t="shared" si="113"/>
        <v>45.977499999999999</v>
      </c>
      <c r="AA144">
        <f>VLOOKUP(Y144,'Hazard Weighting Functions'!$B$5:$G$1205,2,FALSE)</f>
        <v>0</v>
      </c>
      <c r="AB144">
        <f t="shared" si="114"/>
        <v>0</v>
      </c>
      <c r="AC144">
        <f t="shared" si="115"/>
        <v>0</v>
      </c>
      <c r="AE144">
        <f>VLOOKUP(Y144,'Hazard Weighting Functions'!$B$5:$G$1205,3,FALSE)</f>
        <v>0.55000000000000004</v>
      </c>
      <c r="AF144">
        <f t="shared" si="117"/>
        <v>25.287625000000002</v>
      </c>
      <c r="AG144">
        <f t="shared" si="118"/>
        <v>117.35136249999999</v>
      </c>
      <c r="AH144">
        <f>VLOOKUP(Y144,'Hazard Weighting Functions'!$B$5:$G$1205,5,FALSE)</f>
        <v>0.11260000000000001</v>
      </c>
      <c r="AI144">
        <f t="shared" si="119"/>
        <v>5.1770665000000005</v>
      </c>
      <c r="AJ144">
        <f t="shared" si="120"/>
        <v>29.665938130000001</v>
      </c>
      <c r="AM144">
        <f t="shared" si="161"/>
        <v>235.23775000000001</v>
      </c>
      <c r="AZ144" s="20">
        <f t="shared" si="182"/>
        <v>605</v>
      </c>
      <c r="BA144" s="20">
        <f t="shared" si="183"/>
        <v>837264</v>
      </c>
      <c r="BB144" s="19">
        <f>VLOOKUP(AZ144,'Hazard Weighting Functions'!$B$5:$G$1205,3,FALSE)</f>
        <v>1E-3</v>
      </c>
      <c r="BC144" s="19">
        <f t="shared" si="184"/>
        <v>837.26400000000001</v>
      </c>
      <c r="BD144" s="19">
        <f t="shared" si="185"/>
        <v>4223.9400000000005</v>
      </c>
      <c r="BF144" s="20">
        <f t="shared" ref="BF144:BG144" si="191">H234</f>
        <v>925</v>
      </c>
      <c r="BG144" s="20">
        <f t="shared" si="191"/>
        <v>149.06800000000001</v>
      </c>
      <c r="BH144" s="19">
        <f>VLOOKUP(BF144,'Hazard Weighting Functions'!$B$5:$G$1205,4,FALSE)</f>
        <v>0.35499999999999998</v>
      </c>
      <c r="BI144" s="19">
        <f t="shared" si="129"/>
        <v>52.919139999999999</v>
      </c>
      <c r="BJ144" s="19">
        <f t="shared" si="130"/>
        <v>261.2491225</v>
      </c>
      <c r="BK144" s="1">
        <f t="shared" si="105"/>
        <v>725</v>
      </c>
      <c r="BL144" s="20">
        <f t="shared" si="106"/>
        <v>1126119.9999999998</v>
      </c>
      <c r="BM144">
        <f>VLOOKUP(BK144,'Hazard Weighting Functions'!$B$5:$G$1205,4,FALSE)</f>
        <v>0.89100000000000001</v>
      </c>
      <c r="BN144">
        <f t="shared" si="131"/>
        <v>1003372.9199999998</v>
      </c>
      <c r="BO144" s="19">
        <f t="shared" si="176"/>
        <v>4976706.9399999995</v>
      </c>
      <c r="BP144" s="20">
        <f t="shared" si="107"/>
        <v>605</v>
      </c>
      <c r="BQ144" s="20">
        <f t="shared" si="107"/>
        <v>837264</v>
      </c>
      <c r="BR144" s="19">
        <f>VLOOKUP(BP144,'Hazard Weighting Functions'!$B$5:$G$1205,4,FALSE)</f>
        <v>1</v>
      </c>
      <c r="BS144" s="19">
        <f t="shared" si="132"/>
        <v>837264</v>
      </c>
      <c r="BT144" s="19">
        <f t="shared" si="133"/>
        <v>4223940</v>
      </c>
      <c r="BV144">
        <f>VLOOKUP(BK144,'Hazard Weighting Functions'!$B$5:$G$1205,5,FALSE)</f>
        <v>7.3999999999999999E-4</v>
      </c>
      <c r="BW144" s="24">
        <f t="shared" si="134"/>
        <v>833.32879999999977</v>
      </c>
      <c r="BX144" s="24">
        <f t="shared" si="135"/>
        <v>3556.9187999999995</v>
      </c>
    </row>
    <row r="145" spans="2:76">
      <c r="B145">
        <v>480</v>
      </c>
      <c r="C145" s="36">
        <v>48.117600000000003</v>
      </c>
      <c r="E145">
        <v>480</v>
      </c>
      <c r="F145" s="36">
        <v>48.117600000000003</v>
      </c>
      <c r="H145" s="19">
        <v>480</v>
      </c>
      <c r="I145" s="36">
        <v>48.117600000000003</v>
      </c>
      <c r="K145">
        <v>1580</v>
      </c>
      <c r="L145" s="36">
        <f>844.170696*(1628/1602)</f>
        <v>857.87134400000002</v>
      </c>
      <c r="N145">
        <v>730</v>
      </c>
      <c r="O145" s="36">
        <v>1133536</v>
      </c>
      <c r="Q145" s="20">
        <v>610</v>
      </c>
      <c r="R145" s="37">
        <v>852312</v>
      </c>
      <c r="V145">
        <f t="shared" si="110"/>
        <v>480</v>
      </c>
      <c r="W145">
        <f t="shared" si="111"/>
        <v>48.117600000000003</v>
      </c>
      <c r="Y145">
        <f t="shared" si="112"/>
        <v>480</v>
      </c>
      <c r="Z145">
        <f t="shared" si="113"/>
        <v>48.117600000000003</v>
      </c>
      <c r="AA145">
        <f>VLOOKUP(Y145,'Hazard Weighting Functions'!$B$5:$G$1205,2,FALSE)</f>
        <v>0</v>
      </c>
      <c r="AB145">
        <f t="shared" si="114"/>
        <v>0</v>
      </c>
      <c r="AC145">
        <f t="shared" si="115"/>
        <v>0</v>
      </c>
      <c r="AE145">
        <f>VLOOKUP(Y145,'Hazard Weighting Functions'!$B$5:$G$1205,3,FALSE)</f>
        <v>0.45</v>
      </c>
      <c r="AF145">
        <f t="shared" si="117"/>
        <v>21.652920000000002</v>
      </c>
      <c r="AG145">
        <f t="shared" si="118"/>
        <v>104.41510000000001</v>
      </c>
      <c r="AH145">
        <f>VLOOKUP(Y145,'Hazard Weighting Functions'!$B$5:$G$1205,5,FALSE)</f>
        <v>0.13902</v>
      </c>
      <c r="AI145">
        <f t="shared" si="119"/>
        <v>6.6893087520000005</v>
      </c>
      <c r="AJ145">
        <f t="shared" si="120"/>
        <v>38.005466980000001</v>
      </c>
      <c r="AM145">
        <f t="shared" si="161"/>
        <v>246.001</v>
      </c>
      <c r="AZ145" s="20">
        <f t="shared" si="182"/>
        <v>610</v>
      </c>
      <c r="BA145" s="20">
        <f t="shared" si="183"/>
        <v>852312</v>
      </c>
      <c r="BB145" s="19">
        <f>VLOOKUP(AZ145,'Hazard Weighting Functions'!$B$5:$G$1205,3,FALSE)</f>
        <v>1E-3</v>
      </c>
      <c r="BC145" s="19">
        <f t="shared" si="184"/>
        <v>852.31200000000001</v>
      </c>
      <c r="BD145" s="19">
        <f t="shared" si="185"/>
        <v>4302.4400000000005</v>
      </c>
      <c r="BF145" s="20">
        <f t="shared" ref="BF145:BG145" si="192">H235</f>
        <v>930</v>
      </c>
      <c r="BG145" s="20">
        <f t="shared" si="192"/>
        <v>148.64699999999999</v>
      </c>
      <c r="BH145" s="19">
        <f>VLOOKUP(BF145,'Hazard Weighting Functions'!$B$5:$G$1205,4,FALSE)</f>
        <v>0.34699999999999998</v>
      </c>
      <c r="BI145" s="19">
        <f t="shared" si="129"/>
        <v>51.580508999999992</v>
      </c>
      <c r="BJ145" s="19">
        <f t="shared" si="130"/>
        <v>254.5558575</v>
      </c>
      <c r="BK145" s="1">
        <f t="shared" si="105"/>
        <v>730</v>
      </c>
      <c r="BL145" s="20">
        <f t="shared" si="106"/>
        <v>1133536</v>
      </c>
      <c r="BM145">
        <f>VLOOKUP(BK145,'Hazard Weighting Functions'!$B$5:$G$1205,4,FALSE)</f>
        <v>0.871</v>
      </c>
      <c r="BN145">
        <f t="shared" si="131"/>
        <v>987309.85600000003</v>
      </c>
      <c r="BO145" s="19">
        <f t="shared" si="176"/>
        <v>4894901.1399999997</v>
      </c>
      <c r="BP145" s="20">
        <f t="shared" si="107"/>
        <v>610</v>
      </c>
      <c r="BQ145" s="20">
        <f t="shared" si="107"/>
        <v>852312</v>
      </c>
      <c r="BR145" s="19">
        <f>VLOOKUP(BP145,'Hazard Weighting Functions'!$B$5:$G$1205,4,FALSE)</f>
        <v>1</v>
      </c>
      <c r="BS145" s="19">
        <f t="shared" si="132"/>
        <v>852312</v>
      </c>
      <c r="BT145" s="19">
        <f t="shared" si="133"/>
        <v>4302440</v>
      </c>
      <c r="BV145">
        <f>VLOOKUP(BK145,'Hazard Weighting Functions'!$B$5:$G$1205,5,FALSE)</f>
        <v>5.1999999999999995E-4</v>
      </c>
      <c r="BW145" s="24">
        <f t="shared" si="134"/>
        <v>589.43871999999999</v>
      </c>
      <c r="BX145" s="24">
        <f t="shared" si="135"/>
        <v>2503.2734499999997</v>
      </c>
    </row>
    <row r="146" spans="2:76">
      <c r="B146">
        <v>485</v>
      </c>
      <c r="C146" s="36">
        <v>50.282800000000002</v>
      </c>
      <c r="E146">
        <v>485</v>
      </c>
      <c r="F146" s="36">
        <v>50.282800000000002</v>
      </c>
      <c r="H146" s="19">
        <v>485</v>
      </c>
      <c r="I146" s="36">
        <v>50.282800000000002</v>
      </c>
      <c r="K146">
        <v>1585</v>
      </c>
      <c r="L146" s="36">
        <f>837.910356*(1628/1602)</f>
        <v>851.50940047940071</v>
      </c>
      <c r="N146">
        <v>735</v>
      </c>
      <c r="O146" s="36">
        <v>1140599.9999999998</v>
      </c>
      <c r="Q146" s="20">
        <v>615</v>
      </c>
      <c r="R146" s="37">
        <v>868664</v>
      </c>
      <c r="V146">
        <f t="shared" si="110"/>
        <v>485</v>
      </c>
      <c r="W146">
        <f t="shared" si="111"/>
        <v>50.282800000000002</v>
      </c>
      <c r="Y146">
        <f t="shared" si="112"/>
        <v>485</v>
      </c>
      <c r="Z146">
        <f t="shared" si="113"/>
        <v>50.282800000000002</v>
      </c>
      <c r="AA146">
        <f>VLOOKUP(Y146,'Hazard Weighting Functions'!$B$5:$G$1205,2,FALSE)</f>
        <v>0</v>
      </c>
      <c r="AB146">
        <f t="shared" si="114"/>
        <v>0</v>
      </c>
      <c r="AC146">
        <f t="shared" si="115"/>
        <v>0</v>
      </c>
      <c r="AE146">
        <f>VLOOKUP(Y146,'Hazard Weighting Functions'!$B$5:$G$1205,3,FALSE)</f>
        <v>0.4</v>
      </c>
      <c r="AF146">
        <f t="shared" si="117"/>
        <v>20.113120000000002</v>
      </c>
      <c r="AG146">
        <f t="shared" si="118"/>
        <v>79.289085</v>
      </c>
      <c r="AH146">
        <f>VLOOKUP(Y146,'Hazard Weighting Functions'!$B$5:$G$1205,5,FALSE)</f>
        <v>0.16930000000000001</v>
      </c>
      <c r="AI146">
        <f t="shared" si="119"/>
        <v>8.5128780400000004</v>
      </c>
      <c r="AJ146">
        <f t="shared" si="120"/>
        <v>48.708956035</v>
      </c>
      <c r="AM146">
        <f t="shared" si="161"/>
        <v>257.55375000000004</v>
      </c>
      <c r="AZ146" s="20">
        <f t="shared" si="182"/>
        <v>615</v>
      </c>
      <c r="BA146" s="20">
        <f t="shared" si="183"/>
        <v>868664</v>
      </c>
      <c r="BB146" s="19">
        <f>VLOOKUP(AZ146,'Hazard Weighting Functions'!$B$5:$G$1205,3,FALSE)</f>
        <v>1E-3</v>
      </c>
      <c r="BC146" s="19">
        <f t="shared" si="184"/>
        <v>868.66399999999999</v>
      </c>
      <c r="BD146" s="19">
        <f t="shared" si="185"/>
        <v>4380.9399999999996</v>
      </c>
      <c r="BF146" s="20">
        <f t="shared" ref="BF146:BG146" si="193">H236</f>
        <v>935</v>
      </c>
      <c r="BG146" s="20">
        <f t="shared" si="193"/>
        <v>148.20600000000002</v>
      </c>
      <c r="BH146" s="19">
        <f>VLOOKUP(BF146,'Hazard Weighting Functions'!$B$5:$G$1205,4,FALSE)</f>
        <v>0.33900000000000002</v>
      </c>
      <c r="BI146" s="19">
        <f t="shared" si="129"/>
        <v>50.241834000000011</v>
      </c>
      <c r="BJ146" s="19">
        <f t="shared" si="130"/>
        <v>247.86440000000005</v>
      </c>
      <c r="BK146" s="1">
        <f t="shared" si="105"/>
        <v>735</v>
      </c>
      <c r="BL146" s="20">
        <f t="shared" si="106"/>
        <v>1140599.9999999998</v>
      </c>
      <c r="BM146">
        <f>VLOOKUP(BK146,'Hazard Weighting Functions'!$B$5:$G$1205,4,FALSE)</f>
        <v>0.85099999999999998</v>
      </c>
      <c r="BN146">
        <f t="shared" si="131"/>
        <v>970650.59999999974</v>
      </c>
      <c r="BO146" s="19">
        <f t="shared" si="176"/>
        <v>4824234.1799999988</v>
      </c>
      <c r="BP146" s="20">
        <f t="shared" si="107"/>
        <v>615</v>
      </c>
      <c r="BQ146" s="20">
        <f t="shared" si="107"/>
        <v>868664</v>
      </c>
      <c r="BR146" s="19">
        <f>VLOOKUP(BP146,'Hazard Weighting Functions'!$B$5:$G$1205,4,FALSE)</f>
        <v>1</v>
      </c>
      <c r="BS146" s="19">
        <f t="shared" si="132"/>
        <v>868664</v>
      </c>
      <c r="BT146" s="19">
        <f t="shared" si="133"/>
        <v>4380940</v>
      </c>
      <c r="BV146">
        <f>VLOOKUP(BK146,'Hazard Weighting Functions'!$B$5:$G$1205,5,FALSE)</f>
        <v>3.611E-4</v>
      </c>
      <c r="BW146" s="24">
        <f t="shared" si="134"/>
        <v>411.87065999999993</v>
      </c>
      <c r="BX146" s="24">
        <f t="shared" si="135"/>
        <v>1747.8062579999996</v>
      </c>
    </row>
    <row r="147" spans="2:76">
      <c r="B147">
        <v>490</v>
      </c>
      <c r="C147" s="36">
        <v>52.738700000000001</v>
      </c>
      <c r="E147">
        <v>490</v>
      </c>
      <c r="F147" s="36">
        <v>52.738700000000001</v>
      </c>
      <c r="H147" s="19">
        <v>490</v>
      </c>
      <c r="I147" s="36">
        <v>52.738700000000001</v>
      </c>
      <c r="K147">
        <v>1590</v>
      </c>
      <c r="L147" s="36">
        <f>831.689568*(1628/1602)</f>
        <v>845.1876508764044</v>
      </c>
      <c r="N147">
        <v>740</v>
      </c>
      <c r="O147" s="36">
        <v>1152695.9999999998</v>
      </c>
      <c r="Q147" s="20">
        <v>620</v>
      </c>
      <c r="R147" s="37">
        <v>883712</v>
      </c>
      <c r="V147">
        <f t="shared" si="110"/>
        <v>490</v>
      </c>
      <c r="W147">
        <f t="shared" si="111"/>
        <v>52.738700000000001</v>
      </c>
      <c r="Y147">
        <f t="shared" si="112"/>
        <v>490</v>
      </c>
      <c r="Z147">
        <f t="shared" si="113"/>
        <v>52.738700000000001</v>
      </c>
      <c r="AA147">
        <f>VLOOKUP(Y147,'Hazard Weighting Functions'!$B$5:$G$1205,2,FALSE)</f>
        <v>0</v>
      </c>
      <c r="AB147">
        <f t="shared" si="114"/>
        <v>0</v>
      </c>
      <c r="AC147">
        <f t="shared" si="115"/>
        <v>0</v>
      </c>
      <c r="AE147">
        <f>VLOOKUP(Y147,'Hazard Weighting Functions'!$B$5:$G$1205,3,FALSE)</f>
        <v>0.22</v>
      </c>
      <c r="AF147">
        <f t="shared" si="117"/>
        <v>11.602514000000001</v>
      </c>
      <c r="AG147">
        <f t="shared" si="118"/>
        <v>50.993884999999999</v>
      </c>
      <c r="AH147">
        <f>VLOOKUP(Y147,'Hazard Weighting Functions'!$B$5:$G$1205,5,FALSE)</f>
        <v>0.20802000000000001</v>
      </c>
      <c r="AI147">
        <f t="shared" si="119"/>
        <v>10.970704374</v>
      </c>
      <c r="AJ147">
        <f t="shared" si="120"/>
        <v>62.964219435000004</v>
      </c>
      <c r="AM147">
        <f t="shared" si="161"/>
        <v>269.26925</v>
      </c>
      <c r="AZ147" s="20">
        <f t="shared" si="182"/>
        <v>620</v>
      </c>
      <c r="BA147" s="20">
        <f t="shared" si="183"/>
        <v>883712</v>
      </c>
      <c r="BB147" s="19">
        <f>VLOOKUP(AZ147,'Hazard Weighting Functions'!$B$5:$G$1205,3,FALSE)</f>
        <v>1E-3</v>
      </c>
      <c r="BC147" s="19">
        <f t="shared" si="184"/>
        <v>883.71199999999999</v>
      </c>
      <c r="BD147" s="19">
        <f t="shared" si="185"/>
        <v>4456.18</v>
      </c>
      <c r="BF147" s="20">
        <f t="shared" ref="BF147:BG147" si="194">H237</f>
        <v>940</v>
      </c>
      <c r="BG147" s="20">
        <f t="shared" si="194"/>
        <v>147.74600000000001</v>
      </c>
      <c r="BH147" s="19">
        <f>VLOOKUP(BF147,'Hazard Weighting Functions'!$B$5:$G$1205,4,FALSE)</f>
        <v>0.33100000000000002</v>
      </c>
      <c r="BI147" s="19">
        <f t="shared" si="129"/>
        <v>48.903926000000006</v>
      </c>
      <c r="BJ147" s="19">
        <f t="shared" si="130"/>
        <v>241.753445</v>
      </c>
      <c r="BK147" s="1">
        <f t="shared" si="105"/>
        <v>740</v>
      </c>
      <c r="BL147" s="20">
        <f t="shared" si="106"/>
        <v>1152695.9999999998</v>
      </c>
      <c r="BM147">
        <f>VLOOKUP(BK147,'Hazard Weighting Functions'!$B$5:$G$1205,4,FALSE)</f>
        <v>0.83199999999999996</v>
      </c>
      <c r="BN147">
        <f t="shared" si="131"/>
        <v>959043.07199999981</v>
      </c>
      <c r="BO147" s="19">
        <f t="shared" si="176"/>
        <v>4745909.3999999994</v>
      </c>
      <c r="BP147" s="20">
        <f t="shared" si="107"/>
        <v>620</v>
      </c>
      <c r="BQ147" s="20">
        <f t="shared" si="107"/>
        <v>883712</v>
      </c>
      <c r="BR147" s="19">
        <f>VLOOKUP(BP147,'Hazard Weighting Functions'!$B$5:$G$1205,4,FALSE)</f>
        <v>1</v>
      </c>
      <c r="BS147" s="19">
        <f t="shared" si="132"/>
        <v>883712</v>
      </c>
      <c r="BT147" s="19">
        <f t="shared" si="133"/>
        <v>4456180</v>
      </c>
      <c r="BV147">
        <f>VLOOKUP(BK147,'Hazard Weighting Functions'!$B$5:$G$1205,5,FALSE)</f>
        <v>2.4919999999999999E-4</v>
      </c>
      <c r="BW147" s="24">
        <f t="shared" si="134"/>
        <v>287.25184319999994</v>
      </c>
      <c r="BX147" s="24">
        <f t="shared" si="135"/>
        <v>1214.6524439999998</v>
      </c>
    </row>
    <row r="148" spans="2:76">
      <c r="B148">
        <v>495</v>
      </c>
      <c r="C148" s="36">
        <v>54.969000000000001</v>
      </c>
      <c r="E148">
        <v>495</v>
      </c>
      <c r="F148" s="36">
        <v>54.969000000000001</v>
      </c>
      <c r="H148" s="19">
        <v>495</v>
      </c>
      <c r="I148" s="36">
        <v>54.969000000000001</v>
      </c>
      <c r="K148">
        <v>1595</v>
      </c>
      <c r="L148" s="36">
        <f>825.508332*(1628/1602)</f>
        <v>838.90609519101122</v>
      </c>
      <c r="N148">
        <v>745</v>
      </c>
      <c r="O148" s="36">
        <v>1155376</v>
      </c>
      <c r="Q148" s="20">
        <v>625</v>
      </c>
      <c r="R148" s="37">
        <v>898760</v>
      </c>
      <c r="V148">
        <f t="shared" si="110"/>
        <v>495</v>
      </c>
      <c r="W148">
        <f t="shared" si="111"/>
        <v>54.969000000000001</v>
      </c>
      <c r="Y148">
        <f t="shared" si="112"/>
        <v>495</v>
      </c>
      <c r="Z148">
        <f t="shared" si="113"/>
        <v>54.969000000000001</v>
      </c>
      <c r="AA148">
        <f>VLOOKUP(Y148,'Hazard Weighting Functions'!$B$5:$G$1205,2,FALSE)</f>
        <v>0</v>
      </c>
      <c r="AB148">
        <f t="shared" si="114"/>
        <v>0</v>
      </c>
      <c r="AC148">
        <f t="shared" si="115"/>
        <v>0</v>
      </c>
      <c r="AE148">
        <f>VLOOKUP(Y148,'Hazard Weighting Functions'!$B$5:$G$1205,3,FALSE)</f>
        <v>0.16</v>
      </c>
      <c r="AF148">
        <f t="shared" si="117"/>
        <v>8.7950400000000002</v>
      </c>
      <c r="AG148">
        <f t="shared" si="118"/>
        <v>36.296050000000001</v>
      </c>
      <c r="AH148">
        <f>VLOOKUP(Y148,'Hazard Weighting Functions'!$B$5:$G$1205,5,FALSE)</f>
        <v>0.2586</v>
      </c>
      <c r="AI148">
        <f t="shared" si="119"/>
        <v>14.214983399999999</v>
      </c>
      <c r="AJ148">
        <f t="shared" si="120"/>
        <v>81.753751999999992</v>
      </c>
      <c r="AM148">
        <f t="shared" si="161"/>
        <v>280.50700000000001</v>
      </c>
      <c r="AZ148" s="20">
        <f t="shared" si="182"/>
        <v>625</v>
      </c>
      <c r="BA148" s="20">
        <f t="shared" si="183"/>
        <v>898760</v>
      </c>
      <c r="BB148" s="19">
        <f>VLOOKUP(AZ148,'Hazard Weighting Functions'!$B$5:$G$1205,3,FALSE)</f>
        <v>1E-3</v>
      </c>
      <c r="BC148" s="19">
        <f t="shared" si="184"/>
        <v>898.76</v>
      </c>
      <c r="BD148" s="19">
        <f t="shared" si="185"/>
        <v>4531.26</v>
      </c>
      <c r="BF148" s="20">
        <f t="shared" ref="BF148:BG148" si="195">H238</f>
        <v>945</v>
      </c>
      <c r="BG148" s="20">
        <f t="shared" si="195"/>
        <v>147.523</v>
      </c>
      <c r="BH148" s="19">
        <f>VLOOKUP(BF148,'Hazard Weighting Functions'!$B$5:$G$1205,4,FALSE)</f>
        <v>0.32400000000000001</v>
      </c>
      <c r="BI148" s="19">
        <f t="shared" si="129"/>
        <v>47.797452</v>
      </c>
      <c r="BJ148" s="19">
        <f t="shared" si="130"/>
        <v>235.84641000000002</v>
      </c>
      <c r="BK148" s="1">
        <f t="shared" si="105"/>
        <v>745</v>
      </c>
      <c r="BL148" s="20">
        <f t="shared" si="106"/>
        <v>1155376</v>
      </c>
      <c r="BM148">
        <f>VLOOKUP(BK148,'Hazard Weighting Functions'!$B$5:$G$1205,4,FALSE)</f>
        <v>0.81299999999999994</v>
      </c>
      <c r="BN148">
        <f t="shared" si="131"/>
        <v>939320.68799999997</v>
      </c>
      <c r="BO148" s="19">
        <f t="shared" si="176"/>
        <v>4651330.4799999995</v>
      </c>
      <c r="BP148" s="20">
        <f t="shared" si="107"/>
        <v>625</v>
      </c>
      <c r="BQ148" s="20">
        <f t="shared" si="107"/>
        <v>898760</v>
      </c>
      <c r="BR148" s="19">
        <f>VLOOKUP(BP148,'Hazard Weighting Functions'!$B$5:$G$1205,4,FALSE)</f>
        <v>1</v>
      </c>
      <c r="BS148" s="19">
        <f t="shared" si="132"/>
        <v>898760</v>
      </c>
      <c r="BT148" s="19">
        <f t="shared" si="133"/>
        <v>4531260</v>
      </c>
      <c r="BV148">
        <f>VLOOKUP(BK148,'Hazard Weighting Functions'!$B$5:$G$1205,5,FALSE)</f>
        <v>1.719E-4</v>
      </c>
      <c r="BW148" s="24">
        <f t="shared" si="134"/>
        <v>198.60913440000002</v>
      </c>
      <c r="BX148" s="24">
        <f t="shared" si="135"/>
        <v>844.58763599999997</v>
      </c>
    </row>
    <row r="149" spans="2:76">
      <c r="B149">
        <v>500</v>
      </c>
      <c r="C149" s="36">
        <v>57.233800000000002</v>
      </c>
      <c r="E149">
        <v>500</v>
      </c>
      <c r="F149" s="36">
        <v>57.233800000000002</v>
      </c>
      <c r="H149" s="19">
        <v>500</v>
      </c>
      <c r="I149" s="36">
        <v>57.233800000000002</v>
      </c>
      <c r="K149">
        <v>1600</v>
      </c>
      <c r="L149" s="36">
        <f>819.366648*(1628/1602)</f>
        <v>832.66473342322092</v>
      </c>
      <c r="N149">
        <v>750</v>
      </c>
      <c r="O149" s="36">
        <v>1160215.9999999998</v>
      </c>
      <c r="Q149" s="20">
        <v>630</v>
      </c>
      <c r="R149" s="37">
        <v>913744</v>
      </c>
      <c r="V149">
        <f t="shared" si="110"/>
        <v>500</v>
      </c>
      <c r="W149">
        <f t="shared" si="111"/>
        <v>57.233800000000002</v>
      </c>
      <c r="Y149">
        <f t="shared" si="112"/>
        <v>500</v>
      </c>
      <c r="Z149">
        <f t="shared" si="113"/>
        <v>57.233800000000002</v>
      </c>
      <c r="AA149">
        <f>VLOOKUP(Y149,'Hazard Weighting Functions'!$B$5:$G$1205,2,FALSE)</f>
        <v>0</v>
      </c>
      <c r="AB149">
        <f t="shared" si="114"/>
        <v>0</v>
      </c>
      <c r="AC149">
        <f t="shared" si="115"/>
        <v>0</v>
      </c>
      <c r="AE149">
        <f>VLOOKUP(Y149,'Hazard Weighting Functions'!$B$5:$G$1205,3,FALSE)</f>
        <v>0.1</v>
      </c>
      <c r="AF149">
        <f t="shared" si="117"/>
        <v>5.7233800000000006</v>
      </c>
      <c r="AG149">
        <f t="shared" si="118"/>
        <v>26.076684999999998</v>
      </c>
      <c r="AH149">
        <f>VLOOKUP(Y149,'Hazard Weighting Functions'!$B$5:$G$1205,5,FALSE)</f>
        <v>0.32300000000000001</v>
      </c>
      <c r="AI149">
        <f t="shared" si="119"/>
        <v>18.4865174</v>
      </c>
      <c r="AJ149">
        <f t="shared" si="120"/>
        <v>106.88973799999999</v>
      </c>
      <c r="AM149">
        <f t="shared" si="161"/>
        <v>292.04950000000002</v>
      </c>
      <c r="AZ149" s="20">
        <f t="shared" si="182"/>
        <v>630</v>
      </c>
      <c r="BA149" s="20">
        <f t="shared" si="183"/>
        <v>913744</v>
      </c>
      <c r="BB149" s="19">
        <f>VLOOKUP(AZ149,'Hazard Weighting Functions'!$B$5:$G$1205,3,FALSE)</f>
        <v>1E-3</v>
      </c>
      <c r="BC149" s="19">
        <f t="shared" si="184"/>
        <v>913.74400000000003</v>
      </c>
      <c r="BD149" s="19">
        <f t="shared" si="185"/>
        <v>4603.7</v>
      </c>
      <c r="BF149" s="20">
        <f t="shared" ref="BF149:BG149" si="196">H239</f>
        <v>950</v>
      </c>
      <c r="BG149" s="20">
        <f t="shared" si="196"/>
        <v>147.28200000000001</v>
      </c>
      <c r="BH149" s="19">
        <f>VLOOKUP(BF149,'Hazard Weighting Functions'!$B$5:$G$1205,4,FALSE)</f>
        <v>0.316</v>
      </c>
      <c r="BI149" s="19">
        <f t="shared" si="129"/>
        <v>46.541112000000005</v>
      </c>
      <c r="BJ149" s="19">
        <f t="shared" si="130"/>
        <v>229.92804750000002</v>
      </c>
      <c r="BK149" s="1">
        <f t="shared" si="105"/>
        <v>750</v>
      </c>
      <c r="BL149" s="20">
        <f t="shared" si="106"/>
        <v>1160215.9999999998</v>
      </c>
      <c r="BM149">
        <f>VLOOKUP(BK149,'Hazard Weighting Functions'!$B$5:$G$1205,4,FALSE)</f>
        <v>0.79400000000000004</v>
      </c>
      <c r="BN149">
        <f t="shared" si="131"/>
        <v>921211.50399999984</v>
      </c>
      <c r="BO149" s="19">
        <f t="shared" si="176"/>
        <v>4564711.7999999989</v>
      </c>
      <c r="BP149" s="20">
        <f t="shared" si="107"/>
        <v>630</v>
      </c>
      <c r="BQ149" s="20">
        <f t="shared" si="107"/>
        <v>913744</v>
      </c>
      <c r="BR149" s="19">
        <f>VLOOKUP(BP149,'Hazard Weighting Functions'!$B$5:$G$1205,4,FALSE)</f>
        <v>1</v>
      </c>
      <c r="BS149" s="19">
        <f t="shared" si="132"/>
        <v>913744</v>
      </c>
      <c r="BT149" s="19">
        <f t="shared" si="133"/>
        <v>4603700</v>
      </c>
      <c r="BV149">
        <f>VLOOKUP(BK149,'Hazard Weighting Functions'!$B$5:$G$1205,5,FALSE)</f>
        <v>1.2E-4</v>
      </c>
      <c r="BW149" s="24">
        <f t="shared" si="134"/>
        <v>139.22591999999997</v>
      </c>
      <c r="BX149" s="24">
        <f t="shared" si="135"/>
        <v>595.21779199999992</v>
      </c>
    </row>
    <row r="150" spans="2:76">
      <c r="B150">
        <v>505</v>
      </c>
      <c r="C150" s="36">
        <v>59.585999999999999</v>
      </c>
      <c r="E150">
        <v>505</v>
      </c>
      <c r="F150" s="36">
        <v>59.585999999999999</v>
      </c>
      <c r="H150" s="19">
        <v>505</v>
      </c>
      <c r="I150" s="36">
        <v>59.585999999999999</v>
      </c>
      <c r="K150">
        <v>1605</v>
      </c>
      <c r="L150" s="36">
        <f>813.43014*(1628/1602)</f>
        <v>826.63187760299627</v>
      </c>
      <c r="N150">
        <v>755</v>
      </c>
      <c r="O150" s="36">
        <v>1165816</v>
      </c>
      <c r="Q150" s="20">
        <v>635</v>
      </c>
      <c r="R150" s="37">
        <v>927736</v>
      </c>
      <c r="V150">
        <f t="shared" si="110"/>
        <v>505</v>
      </c>
      <c r="W150">
        <f t="shared" si="111"/>
        <v>59.585999999999999</v>
      </c>
      <c r="Y150">
        <f t="shared" si="112"/>
        <v>505</v>
      </c>
      <c r="Z150">
        <f t="shared" si="113"/>
        <v>59.585999999999999</v>
      </c>
      <c r="AA150">
        <f>VLOOKUP(Y150,'Hazard Weighting Functions'!$B$5:$G$1205,2,FALSE)</f>
        <v>0</v>
      </c>
      <c r="AB150">
        <f t="shared" si="114"/>
        <v>0</v>
      </c>
      <c r="AC150">
        <f t="shared" si="115"/>
        <v>0</v>
      </c>
      <c r="AE150">
        <f>VLOOKUP(Y150,'Hazard Weighting Functions'!$B$5:$G$1205,3,FALSE)</f>
        <v>7.9000000000000001E-2</v>
      </c>
      <c r="AF150">
        <f t="shared" si="117"/>
        <v>4.7072940000000001</v>
      </c>
      <c r="AG150">
        <f t="shared" si="118"/>
        <v>21.520713750000002</v>
      </c>
      <c r="AH150">
        <f>VLOOKUP(Y150,'Hazard Weighting Functions'!$B$5:$G$1205,5,FALSE)</f>
        <v>0.4073</v>
      </c>
      <c r="AI150">
        <f t="shared" si="119"/>
        <v>24.269377800000001</v>
      </c>
      <c r="AJ150">
        <f t="shared" si="120"/>
        <v>138.53847325000001</v>
      </c>
      <c r="AM150">
        <f t="shared" si="161"/>
        <v>303.76624999999996</v>
      </c>
      <c r="AZ150" s="20">
        <f t="shared" si="182"/>
        <v>635</v>
      </c>
      <c r="BA150" s="20">
        <f t="shared" si="183"/>
        <v>927736</v>
      </c>
      <c r="BB150" s="19">
        <f>VLOOKUP(AZ150,'Hazard Weighting Functions'!$B$5:$G$1205,3,FALSE)</f>
        <v>1E-3</v>
      </c>
      <c r="BC150" s="19">
        <f t="shared" si="184"/>
        <v>927.73599999999999</v>
      </c>
      <c r="BD150" s="19">
        <f t="shared" si="185"/>
        <v>4674.5600000000004</v>
      </c>
      <c r="BF150" s="20">
        <f t="shared" ref="BF150:BG150" si="197">H240</f>
        <v>955</v>
      </c>
      <c r="BG150" s="20">
        <f t="shared" si="197"/>
        <v>147.023</v>
      </c>
      <c r="BH150" s="19">
        <f>VLOOKUP(BF150,'Hazard Weighting Functions'!$B$5:$G$1205,4,FALSE)</f>
        <v>0.309</v>
      </c>
      <c r="BI150" s="19">
        <f t="shared" si="129"/>
        <v>45.430107</v>
      </c>
      <c r="BJ150" s="19">
        <f t="shared" si="130"/>
        <v>224.36849749999999</v>
      </c>
      <c r="BK150" s="1">
        <f t="shared" si="105"/>
        <v>755</v>
      </c>
      <c r="BL150" s="20">
        <f t="shared" si="106"/>
        <v>1165816</v>
      </c>
      <c r="BM150">
        <f>VLOOKUP(BK150,'Hazard Weighting Functions'!$B$5:$G$1205,4,FALSE)</f>
        <v>0.77600000000000002</v>
      </c>
      <c r="BN150">
        <f t="shared" si="131"/>
        <v>904673.21600000001</v>
      </c>
      <c r="BO150" s="19">
        <f t="shared" si="176"/>
        <v>4474744.88</v>
      </c>
      <c r="BP150" s="20">
        <f t="shared" si="107"/>
        <v>635</v>
      </c>
      <c r="BQ150" s="20">
        <f t="shared" si="107"/>
        <v>927736</v>
      </c>
      <c r="BR150" s="19">
        <f>VLOOKUP(BP150,'Hazard Weighting Functions'!$B$5:$G$1205,4,FALSE)</f>
        <v>1</v>
      </c>
      <c r="BS150" s="19">
        <f t="shared" si="132"/>
        <v>927736</v>
      </c>
      <c r="BT150" s="19">
        <f t="shared" si="133"/>
        <v>4674560</v>
      </c>
      <c r="BV150">
        <f>VLOOKUP(BK150,'Hazard Weighting Functions'!$B$5:$G$1205,5,FALSE)</f>
        <v>8.4800000000000001E-5</v>
      </c>
      <c r="BW150" s="24">
        <f t="shared" si="134"/>
        <v>98.861196800000002</v>
      </c>
      <c r="BX150" s="24">
        <f t="shared" si="135"/>
        <v>422.09859199999994</v>
      </c>
    </row>
    <row r="151" spans="2:76">
      <c r="B151">
        <v>510</v>
      </c>
      <c r="C151" s="36">
        <v>61.920499999999997</v>
      </c>
      <c r="E151">
        <v>510</v>
      </c>
      <c r="F151" s="36">
        <v>61.920499999999997</v>
      </c>
      <c r="H151" s="19">
        <v>510</v>
      </c>
      <c r="I151" s="36">
        <v>61.920499999999997</v>
      </c>
      <c r="K151">
        <v>1610</v>
      </c>
      <c r="L151" s="36">
        <f>807.533184*(1628/1602)</f>
        <v>820.63921570037462</v>
      </c>
      <c r="N151">
        <v>760</v>
      </c>
      <c r="O151" s="36">
        <v>1166304</v>
      </c>
      <c r="Q151" s="20">
        <v>640</v>
      </c>
      <c r="R151" s="37">
        <v>942088</v>
      </c>
      <c r="V151">
        <f t="shared" si="110"/>
        <v>510</v>
      </c>
      <c r="W151">
        <f t="shared" si="111"/>
        <v>61.920499999999997</v>
      </c>
      <c r="Y151">
        <f t="shared" si="112"/>
        <v>510</v>
      </c>
      <c r="Z151">
        <f t="shared" si="113"/>
        <v>61.920499999999997</v>
      </c>
      <c r="AA151">
        <f>VLOOKUP(Y151,'Hazard Weighting Functions'!$B$5:$G$1205,2,FALSE)</f>
        <v>0</v>
      </c>
      <c r="AB151">
        <f t="shared" si="114"/>
        <v>0</v>
      </c>
      <c r="AC151">
        <f t="shared" si="115"/>
        <v>0</v>
      </c>
      <c r="AE151">
        <f>VLOOKUP(Y151,'Hazard Weighting Functions'!$B$5:$G$1205,3,FALSE)</f>
        <v>6.3E-2</v>
      </c>
      <c r="AF151">
        <f t="shared" si="117"/>
        <v>3.9009914999999999</v>
      </c>
      <c r="AG151">
        <f t="shared" si="118"/>
        <v>17.77394125</v>
      </c>
      <c r="AH151">
        <f>VLOOKUP(Y151,'Hazard Weighting Functions'!$B$5:$G$1205,5,FALSE)</f>
        <v>0.503</v>
      </c>
      <c r="AI151">
        <f t="shared" si="119"/>
        <v>31.1460115</v>
      </c>
      <c r="AJ151">
        <f t="shared" si="120"/>
        <v>175.43809859999999</v>
      </c>
      <c r="AM151">
        <f t="shared" si="161"/>
        <v>315.23050000000001</v>
      </c>
      <c r="AZ151" s="20">
        <f t="shared" si="182"/>
        <v>640</v>
      </c>
      <c r="BA151" s="20">
        <f t="shared" si="183"/>
        <v>942088</v>
      </c>
      <c r="BB151" s="19">
        <f>VLOOKUP(AZ151,'Hazard Weighting Functions'!$B$5:$G$1205,3,FALSE)</f>
        <v>1E-3</v>
      </c>
      <c r="BC151" s="19">
        <f t="shared" si="184"/>
        <v>942.08799999999997</v>
      </c>
      <c r="BD151" s="19">
        <f t="shared" si="185"/>
        <v>4747.96</v>
      </c>
      <c r="BF151" s="20">
        <f t="shared" ref="BF151:BG151" si="198">H241</f>
        <v>960</v>
      </c>
      <c r="BG151" s="20">
        <f t="shared" si="198"/>
        <v>146.74600000000001</v>
      </c>
      <c r="BH151" s="19">
        <f>VLOOKUP(BF151,'Hazard Weighting Functions'!$B$5:$G$1205,4,FALSE)</f>
        <v>0.30199999999999999</v>
      </c>
      <c r="BI151" s="19">
        <f t="shared" si="129"/>
        <v>44.317292000000002</v>
      </c>
      <c r="BJ151" s="19">
        <f t="shared" si="130"/>
        <v>218.63269250000002</v>
      </c>
      <c r="BK151" s="1">
        <f t="shared" si="105"/>
        <v>760</v>
      </c>
      <c r="BL151" s="20">
        <f t="shared" si="106"/>
        <v>1166304</v>
      </c>
      <c r="BM151">
        <f>VLOOKUP(BK151,'Hazard Weighting Functions'!$B$5:$G$1205,4,FALSE)</f>
        <v>0.75900000000000001</v>
      </c>
      <c r="BN151">
        <f t="shared" si="131"/>
        <v>885224.73600000003</v>
      </c>
      <c r="BO151" s="19">
        <f t="shared" si="176"/>
        <v>4389541.8599999994</v>
      </c>
      <c r="BP151" s="20">
        <f t="shared" si="107"/>
        <v>640</v>
      </c>
      <c r="BQ151" s="20">
        <f t="shared" si="107"/>
        <v>942088</v>
      </c>
      <c r="BR151" s="19">
        <f>VLOOKUP(BP151,'Hazard Weighting Functions'!$B$5:$G$1205,4,FALSE)</f>
        <v>1</v>
      </c>
      <c r="BS151" s="19">
        <f t="shared" si="132"/>
        <v>942088</v>
      </c>
      <c r="BT151" s="19">
        <f t="shared" si="133"/>
        <v>4747960</v>
      </c>
      <c r="BV151">
        <f>VLOOKUP(BK151,'Hazard Weighting Functions'!$B$5:$G$1205,5,FALSE)</f>
        <v>6.0000000000000002E-5</v>
      </c>
      <c r="BW151" s="24">
        <f t="shared" si="134"/>
        <v>69.97824</v>
      </c>
      <c r="BX151" s="24">
        <f t="shared" si="135"/>
        <v>299.48372799999999</v>
      </c>
    </row>
    <row r="152" spans="2:76">
      <c r="B152">
        <v>515</v>
      </c>
      <c r="C152" s="36">
        <v>64.171700000000001</v>
      </c>
      <c r="E152">
        <v>515</v>
      </c>
      <c r="F152" s="36">
        <v>64.171700000000001</v>
      </c>
      <c r="H152" s="19">
        <v>515</v>
      </c>
      <c r="I152" s="36">
        <v>64.171700000000001</v>
      </c>
      <c r="K152">
        <v>1615</v>
      </c>
      <c r="L152" s="36">
        <f>801.672072*(1628/1602)</f>
        <v>814.68297953558067</v>
      </c>
      <c r="N152">
        <v>765</v>
      </c>
      <c r="O152" s="36">
        <v>1174887.9999999998</v>
      </c>
      <c r="Q152" s="20">
        <v>645</v>
      </c>
      <c r="R152" s="37">
        <v>957096</v>
      </c>
      <c r="V152">
        <f t="shared" si="110"/>
        <v>515</v>
      </c>
      <c r="W152">
        <f t="shared" si="111"/>
        <v>64.171700000000001</v>
      </c>
      <c r="Y152">
        <f t="shared" si="112"/>
        <v>515</v>
      </c>
      <c r="Z152">
        <f t="shared" si="113"/>
        <v>64.171700000000001</v>
      </c>
      <c r="AA152">
        <f>VLOOKUP(Y152,'Hazard Weighting Functions'!$B$5:$G$1205,2,FALSE)</f>
        <v>0</v>
      </c>
      <c r="AB152">
        <f t="shared" si="114"/>
        <v>0</v>
      </c>
      <c r="AC152">
        <f t="shared" si="115"/>
        <v>0</v>
      </c>
      <c r="AE152">
        <f>VLOOKUP(Y152,'Hazard Weighting Functions'!$B$5:$G$1205,3,FALSE)</f>
        <v>0.05</v>
      </c>
      <c r="AF152">
        <f t="shared" si="117"/>
        <v>3.2085850000000002</v>
      </c>
      <c r="AG152">
        <f t="shared" si="118"/>
        <v>14.666282500000001</v>
      </c>
      <c r="AH152">
        <f>VLOOKUP(Y152,'Hazard Weighting Functions'!$B$5:$G$1205,5,FALSE)</f>
        <v>0.60819999999999996</v>
      </c>
      <c r="AI152">
        <f t="shared" si="119"/>
        <v>39.029227939999998</v>
      </c>
      <c r="AJ152">
        <f t="shared" si="120"/>
        <v>215.51862485000001</v>
      </c>
      <c r="AM152">
        <f t="shared" si="161"/>
        <v>326.54975000000002</v>
      </c>
      <c r="AZ152" s="20">
        <f t="shared" si="182"/>
        <v>645</v>
      </c>
      <c r="BA152" s="20">
        <f t="shared" si="183"/>
        <v>957096</v>
      </c>
      <c r="BB152" s="19">
        <f>VLOOKUP(AZ152,'Hazard Weighting Functions'!$B$5:$G$1205,3,FALSE)</f>
        <v>1E-3</v>
      </c>
      <c r="BC152" s="19">
        <f t="shared" si="184"/>
        <v>957.096</v>
      </c>
      <c r="BD152" s="19">
        <f t="shared" si="185"/>
        <v>4820.82</v>
      </c>
      <c r="BF152" s="20">
        <f t="shared" ref="BF152:BG152" si="199">H242</f>
        <v>965</v>
      </c>
      <c r="BG152" s="20">
        <f t="shared" si="199"/>
        <v>146.22300000000001</v>
      </c>
      <c r="BH152" s="19">
        <f>VLOOKUP(BF152,'Hazard Weighting Functions'!$B$5:$G$1205,4,FALSE)</f>
        <v>0.29499999999999998</v>
      </c>
      <c r="BI152" s="19">
        <f t="shared" si="129"/>
        <v>43.135784999999998</v>
      </c>
      <c r="BJ152" s="19">
        <f t="shared" si="130"/>
        <v>212.7326625</v>
      </c>
      <c r="BK152" s="1">
        <f t="shared" si="105"/>
        <v>765</v>
      </c>
      <c r="BL152" s="20">
        <f t="shared" si="106"/>
        <v>1174887.9999999998</v>
      </c>
      <c r="BM152">
        <f>VLOOKUP(BK152,'Hazard Weighting Functions'!$B$5:$G$1205,4,FALSE)</f>
        <v>0.74099999999999999</v>
      </c>
      <c r="BN152">
        <f t="shared" si="131"/>
        <v>870592.0079999998</v>
      </c>
      <c r="BO152" s="19">
        <f t="shared" si="176"/>
        <v>4308645.5399999991</v>
      </c>
      <c r="BP152" s="20">
        <f t="shared" si="107"/>
        <v>645</v>
      </c>
      <c r="BQ152" s="20">
        <f t="shared" si="107"/>
        <v>957096</v>
      </c>
      <c r="BR152" s="19">
        <f>VLOOKUP(BP152,'Hazard Weighting Functions'!$B$5:$G$1205,4,FALSE)</f>
        <v>1</v>
      </c>
      <c r="BS152" s="19">
        <f t="shared" si="132"/>
        <v>957096</v>
      </c>
      <c r="BT152" s="19">
        <f t="shared" si="133"/>
        <v>4820820</v>
      </c>
      <c r="BV152">
        <f>VLOOKUP(BK152,'Hazard Weighting Functions'!$B$5:$G$1205,5,FALSE)</f>
        <v>4.2400000000000001E-5</v>
      </c>
      <c r="BW152" s="24">
        <f t="shared" si="134"/>
        <v>49.815251199999992</v>
      </c>
      <c r="BX152" s="24">
        <f t="shared" si="135"/>
        <v>212.88752799999997</v>
      </c>
    </row>
    <row r="153" spans="2:76">
      <c r="B153">
        <v>520</v>
      </c>
      <c r="C153" s="36">
        <v>66.4482</v>
      </c>
      <c r="E153">
        <v>520</v>
      </c>
      <c r="F153" s="36">
        <v>66.4482</v>
      </c>
      <c r="H153" s="19">
        <v>520</v>
      </c>
      <c r="I153" s="36">
        <v>66.4482</v>
      </c>
      <c r="K153">
        <v>1620</v>
      </c>
      <c r="L153" s="36">
        <f>795.849276*(1628/1602)</f>
        <v>808.76568122846436</v>
      </c>
      <c r="N153">
        <v>770</v>
      </c>
      <c r="O153" s="36">
        <v>1177991.9999999998</v>
      </c>
      <c r="Q153" s="20">
        <v>650</v>
      </c>
      <c r="R153" s="37">
        <v>971232</v>
      </c>
      <c r="V153">
        <f t="shared" si="110"/>
        <v>520</v>
      </c>
      <c r="W153">
        <f t="shared" si="111"/>
        <v>66.4482</v>
      </c>
      <c r="Y153">
        <f t="shared" si="112"/>
        <v>520</v>
      </c>
      <c r="Z153">
        <f t="shared" si="113"/>
        <v>66.4482</v>
      </c>
      <c r="AA153">
        <f>VLOOKUP(Y153,'Hazard Weighting Functions'!$B$5:$G$1205,2,FALSE)</f>
        <v>0</v>
      </c>
      <c r="AB153">
        <f t="shared" si="114"/>
        <v>0</v>
      </c>
      <c r="AC153">
        <f t="shared" si="115"/>
        <v>0</v>
      </c>
      <c r="AE153">
        <f>VLOOKUP(Y153,'Hazard Weighting Functions'!$B$5:$G$1205,3,FALSE)</f>
        <v>0.04</v>
      </c>
      <c r="AF153">
        <f t="shared" si="117"/>
        <v>2.6579280000000001</v>
      </c>
      <c r="AG153">
        <f t="shared" si="118"/>
        <v>12.149724000000003</v>
      </c>
      <c r="AH153">
        <f>VLOOKUP(Y153,'Hazard Weighting Functions'!$B$5:$G$1205,5,FALSE)</f>
        <v>0.71</v>
      </c>
      <c r="AI153">
        <f t="shared" si="119"/>
        <v>47.178221999999998</v>
      </c>
      <c r="AJ153">
        <f t="shared" si="120"/>
        <v>254.39836290000002</v>
      </c>
      <c r="AM153">
        <f t="shared" si="161"/>
        <v>338.14875000000001</v>
      </c>
      <c r="AZ153" s="20">
        <f t="shared" si="182"/>
        <v>650</v>
      </c>
      <c r="BA153" s="20">
        <f t="shared" si="183"/>
        <v>971232</v>
      </c>
      <c r="BB153" s="19">
        <f>VLOOKUP(AZ153,'Hazard Weighting Functions'!$B$5:$G$1205,3,FALSE)</f>
        <v>1E-3</v>
      </c>
      <c r="BC153" s="19">
        <f t="shared" si="184"/>
        <v>971.23199999999997</v>
      </c>
      <c r="BD153" s="19">
        <f t="shared" si="185"/>
        <v>4889.8999999999996</v>
      </c>
      <c r="BF153" s="20">
        <f t="shared" ref="BF153:BG153" si="200">H243</f>
        <v>970</v>
      </c>
      <c r="BG153" s="20">
        <f t="shared" si="200"/>
        <v>145.685</v>
      </c>
      <c r="BH153" s="19">
        <f>VLOOKUP(BF153,'Hazard Weighting Functions'!$B$5:$G$1205,4,FALSE)</f>
        <v>0.28799999999999998</v>
      </c>
      <c r="BI153" s="19">
        <f t="shared" si="129"/>
        <v>41.957279999999997</v>
      </c>
      <c r="BJ153" s="19">
        <f t="shared" si="130"/>
        <v>207.210555</v>
      </c>
      <c r="BK153" s="1">
        <f t="shared" si="105"/>
        <v>770</v>
      </c>
      <c r="BL153" s="20">
        <f t="shared" si="106"/>
        <v>1177991.9999999998</v>
      </c>
      <c r="BM153">
        <f>VLOOKUP(BK153,'Hazard Weighting Functions'!$B$5:$G$1205,4,FALSE)</f>
        <v>0.72399999999999998</v>
      </c>
      <c r="BN153">
        <f t="shared" si="131"/>
        <v>852866.20799999975</v>
      </c>
      <c r="BO153" s="19">
        <f t="shared" si="176"/>
        <v>4215922.7999999989</v>
      </c>
      <c r="BP153" s="20">
        <f t="shared" si="107"/>
        <v>650</v>
      </c>
      <c r="BQ153" s="20">
        <f t="shared" si="107"/>
        <v>971232</v>
      </c>
      <c r="BR153" s="19">
        <f>VLOOKUP(BP153,'Hazard Weighting Functions'!$B$5:$G$1205,4,FALSE)</f>
        <v>1</v>
      </c>
      <c r="BS153" s="19">
        <f t="shared" si="132"/>
        <v>971232</v>
      </c>
      <c r="BT153" s="19">
        <f t="shared" si="133"/>
        <v>4889899.9999999991</v>
      </c>
      <c r="BV153">
        <f>VLOOKUP(BK153,'Hazard Weighting Functions'!$B$5:$G$1205,5,FALSE)</f>
        <v>3.0000000000000001E-5</v>
      </c>
      <c r="BW153" s="24">
        <f t="shared" si="134"/>
        <v>35.339759999999991</v>
      </c>
      <c r="BX153" s="24">
        <f t="shared" si="135"/>
        <v>150.74439199999998</v>
      </c>
    </row>
    <row r="154" spans="2:76">
      <c r="B154">
        <v>525</v>
      </c>
      <c r="C154" s="36">
        <v>68.811300000000003</v>
      </c>
      <c r="E154">
        <v>525</v>
      </c>
      <c r="F154" s="36">
        <v>68.811300000000003</v>
      </c>
      <c r="H154" s="19">
        <v>525</v>
      </c>
      <c r="I154" s="36">
        <v>68.811300000000003</v>
      </c>
      <c r="K154">
        <v>1625</v>
      </c>
      <c r="L154" s="36">
        <f>790.064796*(1628/1602)</f>
        <v>802.88732077902637</v>
      </c>
      <c r="N154">
        <v>775</v>
      </c>
      <c r="O154" s="36">
        <v>1177263.9999999998</v>
      </c>
      <c r="Q154" s="20">
        <v>655</v>
      </c>
      <c r="R154" s="37">
        <v>984727.99999999977</v>
      </c>
      <c r="V154">
        <f t="shared" si="110"/>
        <v>525</v>
      </c>
      <c r="W154">
        <f t="shared" si="111"/>
        <v>68.811300000000003</v>
      </c>
      <c r="Y154">
        <f t="shared" si="112"/>
        <v>525</v>
      </c>
      <c r="Z154">
        <f t="shared" si="113"/>
        <v>68.811300000000003</v>
      </c>
      <c r="AA154">
        <f>VLOOKUP(Y154,'Hazard Weighting Functions'!$B$5:$G$1205,2,FALSE)</f>
        <v>0</v>
      </c>
      <c r="AB154">
        <f t="shared" si="114"/>
        <v>0</v>
      </c>
      <c r="AC154">
        <f t="shared" si="115"/>
        <v>0</v>
      </c>
      <c r="AE154">
        <f>VLOOKUP(Y154,'Hazard Weighting Functions'!$B$5:$G$1205,3,FALSE)</f>
        <v>3.2000000000000001E-2</v>
      </c>
      <c r="AF154">
        <f t="shared" si="117"/>
        <v>2.2019616000000002</v>
      </c>
      <c r="AG154">
        <f t="shared" si="118"/>
        <v>9.9552352500000012</v>
      </c>
      <c r="AH154">
        <f>VLOOKUP(Y154,'Hazard Weighting Functions'!$B$5:$G$1205,5,FALSE)</f>
        <v>0.79320000000000002</v>
      </c>
      <c r="AI154">
        <f t="shared" si="119"/>
        <v>54.581123160000004</v>
      </c>
      <c r="AJ154">
        <f t="shared" si="120"/>
        <v>289.9002294</v>
      </c>
      <c r="AM154">
        <f t="shared" si="161"/>
        <v>350.04149999999993</v>
      </c>
      <c r="AZ154" s="20">
        <f t="shared" si="182"/>
        <v>655</v>
      </c>
      <c r="BA154" s="20">
        <f t="shared" si="183"/>
        <v>984727.99999999977</v>
      </c>
      <c r="BB154" s="19">
        <f>VLOOKUP(AZ154,'Hazard Weighting Functions'!$B$5:$G$1205,3,FALSE)</f>
        <v>1E-3</v>
      </c>
      <c r="BC154" s="19">
        <f t="shared" si="184"/>
        <v>984.72799999999984</v>
      </c>
      <c r="BD154" s="19">
        <f t="shared" si="185"/>
        <v>4954.2599999999993</v>
      </c>
      <c r="BF154" s="20">
        <f t="shared" ref="BF154:BG154" si="201">H244</f>
        <v>975</v>
      </c>
      <c r="BG154" s="20">
        <f t="shared" si="201"/>
        <v>145.131</v>
      </c>
      <c r="BH154" s="19">
        <f>VLOOKUP(BF154,'Hazard Weighting Functions'!$B$5:$G$1205,4,FALSE)</f>
        <v>0.28199999999999997</v>
      </c>
      <c r="BI154" s="19">
        <f t="shared" si="129"/>
        <v>40.926941999999997</v>
      </c>
      <c r="BJ154" s="19">
        <f t="shared" si="130"/>
        <v>201.70304250000001</v>
      </c>
      <c r="BK154" s="1">
        <f t="shared" si="105"/>
        <v>775</v>
      </c>
      <c r="BL154" s="20">
        <f t="shared" si="106"/>
        <v>1177263.9999999998</v>
      </c>
      <c r="BM154">
        <f>VLOOKUP(BK154,'Hazard Weighting Functions'!$B$5:$G$1205,4,FALSE)</f>
        <v>0.70799999999999996</v>
      </c>
      <c r="BN154">
        <f t="shared" si="131"/>
        <v>833502.91199999978</v>
      </c>
      <c r="BO154" s="19">
        <f t="shared" si="176"/>
        <v>4123994.7199999997</v>
      </c>
      <c r="BP154" s="20">
        <f t="shared" si="107"/>
        <v>655</v>
      </c>
      <c r="BQ154" s="20">
        <f t="shared" si="107"/>
        <v>984727.99999999977</v>
      </c>
      <c r="BR154" s="19">
        <f>VLOOKUP(BP154,'Hazard Weighting Functions'!$B$5:$G$1205,4,FALSE)</f>
        <v>1</v>
      </c>
      <c r="BS154" s="19">
        <f t="shared" si="132"/>
        <v>984727.99999999977</v>
      </c>
      <c r="BT154" s="19">
        <f t="shared" si="133"/>
        <v>4954259.9999999991</v>
      </c>
      <c r="BV154">
        <f>VLOOKUP(BK154,'Hazard Weighting Functions'!$B$5:$G$1205,5,FALSE)</f>
        <v>2.12E-5</v>
      </c>
      <c r="BW154" s="24">
        <f t="shared" si="134"/>
        <v>24.957996799999997</v>
      </c>
      <c r="BX154" s="24">
        <f t="shared" si="135"/>
        <v>106.5903088</v>
      </c>
    </row>
    <row r="155" spans="2:76">
      <c r="B155">
        <v>530</v>
      </c>
      <c r="C155" s="36">
        <v>71.205299999999994</v>
      </c>
      <c r="E155">
        <v>530</v>
      </c>
      <c r="F155" s="36">
        <v>71.205299999999994</v>
      </c>
      <c r="H155" s="19">
        <v>530</v>
      </c>
      <c r="I155" s="36">
        <v>71.205299999999994</v>
      </c>
      <c r="K155">
        <v>1630</v>
      </c>
      <c r="L155" s="36">
        <f>784.31616*(1628/1602)</f>
        <v>797.04538606741573</v>
      </c>
      <c r="N155">
        <v>780</v>
      </c>
      <c r="O155" s="36">
        <v>1179328</v>
      </c>
      <c r="Q155" s="20">
        <v>660</v>
      </c>
      <c r="R155" s="37">
        <v>996976</v>
      </c>
      <c r="V155">
        <f t="shared" si="110"/>
        <v>530</v>
      </c>
      <c r="W155">
        <f t="shared" si="111"/>
        <v>71.205299999999994</v>
      </c>
      <c r="Y155">
        <f t="shared" si="112"/>
        <v>530</v>
      </c>
      <c r="Z155">
        <f t="shared" si="113"/>
        <v>71.205299999999994</v>
      </c>
      <c r="AA155">
        <f>VLOOKUP(Y155,'Hazard Weighting Functions'!$B$5:$G$1205,2,FALSE)</f>
        <v>0</v>
      </c>
      <c r="AB155">
        <f t="shared" si="114"/>
        <v>0</v>
      </c>
      <c r="AC155">
        <f t="shared" si="115"/>
        <v>0</v>
      </c>
      <c r="AE155">
        <f>VLOOKUP(Y155,'Hazard Weighting Functions'!$B$5:$G$1205,3,FALSE)</f>
        <v>2.5000000000000001E-2</v>
      </c>
      <c r="AF155">
        <f t="shared" si="117"/>
        <v>1.7801324999999999</v>
      </c>
      <c r="AG155">
        <f t="shared" si="118"/>
        <v>8.1303112500000001</v>
      </c>
      <c r="AH155">
        <f>VLOOKUP(Y155,'Hazard Weighting Functions'!$B$5:$G$1205,5,FALSE)</f>
        <v>0.86199999999999999</v>
      </c>
      <c r="AI155">
        <f t="shared" si="119"/>
        <v>61.378968599999993</v>
      </c>
      <c r="AJ155">
        <f t="shared" si="120"/>
        <v>321.77890665000001</v>
      </c>
      <c r="AM155">
        <f t="shared" si="161"/>
        <v>362.01224999999994</v>
      </c>
      <c r="AZ155" s="20">
        <f t="shared" si="182"/>
        <v>660</v>
      </c>
      <c r="BA155" s="20">
        <f t="shared" si="183"/>
        <v>996976</v>
      </c>
      <c r="BB155" s="19">
        <f>VLOOKUP(AZ155,'Hazard Weighting Functions'!$B$5:$G$1205,3,FALSE)</f>
        <v>1E-3</v>
      </c>
      <c r="BC155" s="19">
        <f t="shared" si="184"/>
        <v>996.976</v>
      </c>
      <c r="BD155" s="19">
        <f t="shared" si="185"/>
        <v>5017.66</v>
      </c>
      <c r="BF155" s="20">
        <f t="shared" ref="BF155:BG155" si="202">H245</f>
        <v>980</v>
      </c>
      <c r="BG155" s="20">
        <f t="shared" si="202"/>
        <v>144.56100000000004</v>
      </c>
      <c r="BH155" s="19">
        <f>VLOOKUP(BF155,'Hazard Weighting Functions'!$B$5:$G$1205,4,FALSE)</f>
        <v>0.27500000000000002</v>
      </c>
      <c r="BI155" s="19">
        <f t="shared" si="129"/>
        <v>39.754275000000014</v>
      </c>
      <c r="BJ155" s="19">
        <f t="shared" si="130"/>
        <v>196.29630000000006</v>
      </c>
      <c r="BK155" s="1">
        <f t="shared" si="105"/>
        <v>780</v>
      </c>
      <c r="BL155" s="20">
        <f t="shared" si="106"/>
        <v>1179328</v>
      </c>
      <c r="BM155">
        <f>VLOOKUP(BK155,'Hazard Weighting Functions'!$B$5:$G$1205,4,FALSE)</f>
        <v>0.69199999999999995</v>
      </c>
      <c r="BN155">
        <f t="shared" si="131"/>
        <v>816094.97599999991</v>
      </c>
      <c r="BO155" s="19">
        <f t="shared" si="176"/>
        <v>4042373.6799999997</v>
      </c>
      <c r="BP155" s="20">
        <f t="shared" si="107"/>
        <v>660</v>
      </c>
      <c r="BQ155" s="20">
        <f t="shared" si="107"/>
        <v>996976</v>
      </c>
      <c r="BR155" s="19">
        <f>VLOOKUP(BP155,'Hazard Weighting Functions'!$B$5:$G$1205,4,FALSE)</f>
        <v>1</v>
      </c>
      <c r="BS155" s="19">
        <f t="shared" si="132"/>
        <v>996976</v>
      </c>
      <c r="BT155" s="19">
        <f t="shared" si="133"/>
        <v>5017660</v>
      </c>
      <c r="BV155">
        <f>VLOOKUP(BK155,'Hazard Weighting Functions'!$B$5:$G$1205,5,FALSE)</f>
        <v>1.499E-5</v>
      </c>
      <c r="BW155" s="24">
        <f t="shared" si="134"/>
        <v>17.678126720000002</v>
      </c>
    </row>
    <row r="156" spans="2:76">
      <c r="B156">
        <v>535</v>
      </c>
      <c r="C156" s="36">
        <v>73.599599999999995</v>
      </c>
      <c r="E156">
        <v>535</v>
      </c>
      <c r="F156" s="36">
        <v>73.599599999999995</v>
      </c>
      <c r="H156" s="19">
        <v>535</v>
      </c>
      <c r="I156" s="36">
        <v>73.599599999999995</v>
      </c>
      <c r="K156">
        <v>1635</v>
      </c>
      <c r="L156" s="36">
        <f>778.607076*(1628/1602)</f>
        <v>791.24364527340845</v>
      </c>
      <c r="N156">
        <v>785</v>
      </c>
      <c r="O156" s="36">
        <v>1184695.9999999998</v>
      </c>
      <c r="Q156" s="20">
        <v>665</v>
      </c>
      <c r="R156" s="37">
        <v>1010088</v>
      </c>
      <c r="V156">
        <f t="shared" si="110"/>
        <v>535</v>
      </c>
      <c r="W156">
        <f t="shared" si="111"/>
        <v>73.599599999999995</v>
      </c>
      <c r="Y156">
        <f t="shared" si="112"/>
        <v>535</v>
      </c>
      <c r="Z156">
        <f t="shared" si="113"/>
        <v>73.599599999999995</v>
      </c>
      <c r="AA156">
        <f>VLOOKUP(Y156,'Hazard Weighting Functions'!$B$5:$G$1205,2,FALSE)</f>
        <v>0</v>
      </c>
      <c r="AB156">
        <f t="shared" si="114"/>
        <v>0</v>
      </c>
      <c r="AC156">
        <f t="shared" si="115"/>
        <v>0</v>
      </c>
      <c r="AE156">
        <f>VLOOKUP(Y156,'Hazard Weighting Functions'!$B$5:$G$1205,3,FALSE)</f>
        <v>0.02</v>
      </c>
      <c r="AF156">
        <f t="shared" si="117"/>
        <v>1.471992</v>
      </c>
      <c r="AG156">
        <f t="shared" si="118"/>
        <v>6.7164599999999997</v>
      </c>
      <c r="AH156">
        <f>VLOOKUP(Y156,'Hazard Weighting Functions'!$B$5:$G$1205,5,FALSE)</f>
        <v>0.91485000000000005</v>
      </c>
      <c r="AI156">
        <f t="shared" si="119"/>
        <v>67.332594060000005</v>
      </c>
      <c r="AJ156">
        <f t="shared" si="120"/>
        <v>349.38160515000004</v>
      </c>
      <c r="AM156">
        <f t="shared" si="161"/>
        <v>373.779</v>
      </c>
      <c r="AZ156" s="20">
        <f t="shared" si="182"/>
        <v>665</v>
      </c>
      <c r="BA156" s="20">
        <f t="shared" si="183"/>
        <v>1010088</v>
      </c>
      <c r="BB156" s="19">
        <f>VLOOKUP(AZ156,'Hazard Weighting Functions'!$B$5:$G$1205,3,FALSE)</f>
        <v>1E-3</v>
      </c>
      <c r="BC156" s="19">
        <f t="shared" si="184"/>
        <v>1010.088</v>
      </c>
      <c r="BD156" s="19">
        <f t="shared" si="185"/>
        <v>5082.84</v>
      </c>
      <c r="BF156" s="20">
        <f t="shared" ref="BF156:BG156" si="203">H246</f>
        <v>985</v>
      </c>
      <c r="BG156" s="20">
        <f t="shared" si="203"/>
        <v>144.10499999999999</v>
      </c>
      <c r="BH156" s="19">
        <f>VLOOKUP(BF156,'Hazard Weighting Functions'!$B$5:$G$1205,4,FALSE)</f>
        <v>0.26900000000000002</v>
      </c>
      <c r="BI156" s="19">
        <f t="shared" si="129"/>
        <v>38.764245000000003</v>
      </c>
      <c r="BJ156" s="19">
        <f t="shared" si="130"/>
        <v>191.34996749999999</v>
      </c>
      <c r="BK156" s="1">
        <f t="shared" ref="BK156:BK219" si="204">N156</f>
        <v>785</v>
      </c>
      <c r="BL156" s="20">
        <f t="shared" ref="BL156:BL219" si="205">O156</f>
        <v>1184695.9999999998</v>
      </c>
      <c r="BM156">
        <f>VLOOKUP(BK156,'Hazard Weighting Functions'!$B$5:$G$1205,4,FALSE)</f>
        <v>0.67600000000000005</v>
      </c>
      <c r="BN156">
        <f t="shared" si="131"/>
        <v>800854.49599999993</v>
      </c>
      <c r="BO156" s="19">
        <f t="shared" si="176"/>
        <v>3966059.7799999993</v>
      </c>
      <c r="BP156" s="20">
        <f t="shared" ref="BP156:BQ219" si="206">Q156</f>
        <v>665</v>
      </c>
      <c r="BQ156" s="20">
        <f t="shared" si="206"/>
        <v>1010088</v>
      </c>
      <c r="BR156" s="19">
        <f>VLOOKUP(BP156,'Hazard Weighting Functions'!$B$5:$G$1205,4,FALSE)</f>
        <v>1</v>
      </c>
      <c r="BS156" s="19">
        <f t="shared" si="132"/>
        <v>1010088</v>
      </c>
      <c r="BT156" s="19">
        <f t="shared" si="133"/>
        <v>5082840</v>
      </c>
    </row>
    <row r="157" spans="2:76">
      <c r="B157">
        <v>540</v>
      </c>
      <c r="C157" s="36">
        <v>75.912000000000006</v>
      </c>
      <c r="E157">
        <v>540</v>
      </c>
      <c r="F157" s="36">
        <v>75.912000000000006</v>
      </c>
      <c r="H157" s="19">
        <v>540</v>
      </c>
      <c r="I157" s="36">
        <v>75.912000000000006</v>
      </c>
      <c r="K157">
        <v>1640</v>
      </c>
      <c r="L157" s="36">
        <f>772.933836*(1628/1602)</f>
        <v>785.4783302172284</v>
      </c>
      <c r="N157">
        <v>790</v>
      </c>
      <c r="O157" s="36">
        <v>1188455.9999999998</v>
      </c>
      <c r="Q157" s="20">
        <v>670</v>
      </c>
      <c r="R157" s="37">
        <v>1023048</v>
      </c>
      <c r="V157">
        <f t="shared" si="110"/>
        <v>540</v>
      </c>
      <c r="W157">
        <f t="shared" si="111"/>
        <v>75.912000000000006</v>
      </c>
      <c r="Y157">
        <f t="shared" si="112"/>
        <v>540</v>
      </c>
      <c r="Z157">
        <f t="shared" si="113"/>
        <v>75.912000000000006</v>
      </c>
      <c r="AA157">
        <f>VLOOKUP(Y157,'Hazard Weighting Functions'!$B$5:$G$1205,2,FALSE)</f>
        <v>0</v>
      </c>
      <c r="AB157">
        <f t="shared" si="114"/>
        <v>0</v>
      </c>
      <c r="AC157">
        <f t="shared" si="115"/>
        <v>0</v>
      </c>
      <c r="AE157">
        <f>VLOOKUP(Y157,'Hazard Weighting Functions'!$B$5:$G$1205,3,FALSE)</f>
        <v>1.6E-2</v>
      </c>
      <c r="AF157">
        <f t="shared" si="117"/>
        <v>1.2145920000000001</v>
      </c>
      <c r="AG157">
        <f t="shared" si="118"/>
        <v>5.5764525000000011</v>
      </c>
      <c r="AH157">
        <f>VLOOKUP(Y157,'Hazard Weighting Functions'!$B$5:$G$1205,5,FALSE)</f>
        <v>0.95399999999999996</v>
      </c>
      <c r="AI157">
        <f t="shared" si="119"/>
        <v>72.420048000000008</v>
      </c>
      <c r="AJ157">
        <f t="shared" si="120"/>
        <v>372.58358475000011</v>
      </c>
      <c r="AM157">
        <f t="shared" si="161"/>
        <v>385.16250000000008</v>
      </c>
      <c r="AZ157" s="20">
        <f t="shared" si="182"/>
        <v>670</v>
      </c>
      <c r="BA157" s="20">
        <f t="shared" si="183"/>
        <v>1023048</v>
      </c>
      <c r="BB157" s="19">
        <f>VLOOKUP(AZ157,'Hazard Weighting Functions'!$B$5:$G$1205,3,FALSE)</f>
        <v>1E-3</v>
      </c>
      <c r="BC157" s="19">
        <f t="shared" si="184"/>
        <v>1023.048</v>
      </c>
      <c r="BD157" s="19">
        <f t="shared" si="185"/>
        <v>5146.84</v>
      </c>
      <c r="BF157" s="20">
        <f t="shared" ref="BF157:BG157" si="207">H247</f>
        <v>990</v>
      </c>
      <c r="BG157" s="20">
        <f t="shared" si="207"/>
        <v>143.63399999999999</v>
      </c>
      <c r="BH157" s="19">
        <f>VLOOKUP(BF157,'Hazard Weighting Functions'!$B$5:$G$1205,4,FALSE)</f>
        <v>0.26300000000000001</v>
      </c>
      <c r="BI157" s="19">
        <f t="shared" si="129"/>
        <v>37.775742000000001</v>
      </c>
      <c r="BJ157" s="19">
        <f t="shared" si="130"/>
        <v>186.41258749999997</v>
      </c>
      <c r="BK157" s="1">
        <f t="shared" si="204"/>
        <v>790</v>
      </c>
      <c r="BL157" s="20">
        <f t="shared" si="205"/>
        <v>1188455.9999999998</v>
      </c>
      <c r="BM157">
        <f>VLOOKUP(BK157,'Hazard Weighting Functions'!$B$5:$G$1205,4,FALSE)</f>
        <v>0.66100000000000003</v>
      </c>
      <c r="BN157">
        <f t="shared" si="131"/>
        <v>785569.41599999985</v>
      </c>
      <c r="BO157" s="19">
        <f t="shared" si="176"/>
        <v>3892621.1399999997</v>
      </c>
      <c r="BP157" s="20">
        <f t="shared" si="206"/>
        <v>670</v>
      </c>
      <c r="BQ157" s="20">
        <f t="shared" si="206"/>
        <v>1023048</v>
      </c>
      <c r="BR157" s="19">
        <f>VLOOKUP(BP157,'Hazard Weighting Functions'!$B$5:$G$1205,4,FALSE)</f>
        <v>1</v>
      </c>
      <c r="BS157" s="19">
        <f t="shared" si="132"/>
        <v>1023048</v>
      </c>
      <c r="BT157" s="19">
        <f t="shared" si="133"/>
        <v>5146840</v>
      </c>
    </row>
    <row r="158" spans="2:76">
      <c r="B158">
        <v>545</v>
      </c>
      <c r="C158" s="36">
        <v>78.15300000000002</v>
      </c>
      <c r="E158">
        <v>545</v>
      </c>
      <c r="F158" s="36">
        <v>78.15300000000002</v>
      </c>
      <c r="H158" s="19">
        <v>545</v>
      </c>
      <c r="I158" s="36">
        <v>78.15300000000002</v>
      </c>
      <c r="K158">
        <v>1645</v>
      </c>
      <c r="L158" s="36">
        <f>767.298912*(1628/1602)</f>
        <v>779.75195301872657</v>
      </c>
      <c r="N158">
        <v>795</v>
      </c>
      <c r="O158" s="36">
        <v>1194240</v>
      </c>
      <c r="Q158" s="20">
        <v>675</v>
      </c>
      <c r="R158" s="37">
        <v>1035688</v>
      </c>
      <c r="V158">
        <f t="shared" ref="V158:V221" si="208">B158</f>
        <v>545</v>
      </c>
      <c r="W158">
        <f t="shared" ref="W158:W221" si="209">C158</f>
        <v>78.15300000000002</v>
      </c>
      <c r="Y158">
        <f t="shared" ref="Y158:Y221" si="210">V158</f>
        <v>545</v>
      </c>
      <c r="Z158">
        <f t="shared" ref="Z158:Z221" si="211">W158</f>
        <v>78.15300000000002</v>
      </c>
      <c r="AA158">
        <f>VLOOKUP(Y158,'Hazard Weighting Functions'!$B$5:$G$1205,2,FALSE)</f>
        <v>0</v>
      </c>
      <c r="AB158">
        <f t="shared" ref="AB158:AB221" si="212">Z158*AA158</f>
        <v>0</v>
      </c>
      <c r="AC158">
        <f t="shared" ref="AC158:AC221" si="213">0.5*(Y159-Y158)*(AB158+AB159)</f>
        <v>0</v>
      </c>
      <c r="AE158">
        <f>VLOOKUP(Y158,'Hazard Weighting Functions'!$B$5:$G$1205,3,FALSE)</f>
        <v>1.2999999999999999E-2</v>
      </c>
      <c r="AF158">
        <f t="shared" ref="AF158:AF221" si="214">AE158*Z158</f>
        <v>1.0159890000000003</v>
      </c>
      <c r="AG158">
        <f t="shared" ref="AG158:AG221" si="215">0.5*(Y159-Y158)*(AF158+AF159)</f>
        <v>4.5423025000000008</v>
      </c>
      <c r="AH158">
        <f>VLOOKUP(Y158,'Hazard Weighting Functions'!$B$5:$G$1205,5,FALSE)</f>
        <v>0.98029999999999995</v>
      </c>
      <c r="AI158">
        <f t="shared" ref="AI158:AI221" si="216">AH158*Z158</f>
        <v>76.613385900000011</v>
      </c>
      <c r="AJ158">
        <f t="shared" ref="AJ158:AJ221" si="217">0.5*(Y159-Y158)*(AI158+AI159)</f>
        <v>390.75528810000009</v>
      </c>
      <c r="AM158">
        <f t="shared" ref="AM158:AM204" si="218">0.5*(V159-V158)*(W158+W159)</f>
        <v>395.61550000000011</v>
      </c>
      <c r="AZ158" s="20">
        <f t="shared" si="182"/>
        <v>675</v>
      </c>
      <c r="BA158" s="20">
        <f t="shared" si="183"/>
        <v>1035688</v>
      </c>
      <c r="BB158" s="19">
        <f>VLOOKUP(AZ158,'Hazard Weighting Functions'!$B$5:$G$1205,3,FALSE)</f>
        <v>1E-3</v>
      </c>
      <c r="BC158" s="19">
        <f t="shared" si="184"/>
        <v>1035.6880000000001</v>
      </c>
      <c r="BD158" s="19">
        <f t="shared" si="185"/>
        <v>5205.18</v>
      </c>
      <c r="BF158" s="20">
        <f t="shared" ref="BF158:BG158" si="219">H248</f>
        <v>995</v>
      </c>
      <c r="BG158" s="20">
        <f t="shared" si="219"/>
        <v>143.149</v>
      </c>
      <c r="BH158" s="19">
        <f>VLOOKUP(BF158,'Hazard Weighting Functions'!$B$5:$G$1205,4,FALSE)</f>
        <v>0.25700000000000001</v>
      </c>
      <c r="BI158" s="19">
        <f t="shared" ref="BI158:BI179" si="220">BG158*BH158</f>
        <v>36.789293000000001</v>
      </c>
      <c r="BJ158" s="19">
        <f t="shared" ref="BJ158:BJ178" si="221">0.5*(BF159-BF158)*(BI158+BI159)</f>
        <v>181.48610750000003</v>
      </c>
      <c r="BK158" s="1">
        <f t="shared" si="204"/>
        <v>795</v>
      </c>
      <c r="BL158" s="20">
        <f t="shared" si="205"/>
        <v>1194240</v>
      </c>
      <c r="BM158">
        <f>VLOOKUP(BK158,'Hazard Weighting Functions'!$B$5:$G$1205,4,FALSE)</f>
        <v>0.64600000000000002</v>
      </c>
      <c r="BN158">
        <f t="shared" ref="BN158:BN221" si="222">BM158*BL158</f>
        <v>771479.04000000004</v>
      </c>
      <c r="BO158" s="19">
        <f t="shared" si="176"/>
        <v>3811626.84</v>
      </c>
      <c r="BP158" s="20">
        <f t="shared" si="206"/>
        <v>675</v>
      </c>
      <c r="BQ158" s="20">
        <f t="shared" si="206"/>
        <v>1035688</v>
      </c>
      <c r="BR158" s="19">
        <f>VLOOKUP(BP158,'Hazard Weighting Functions'!$B$5:$G$1205,4,FALSE)</f>
        <v>1</v>
      </c>
      <c r="BS158" s="19">
        <f t="shared" ref="BS158:BS221" si="223">BR158*BQ158</f>
        <v>1035688</v>
      </c>
      <c r="BT158" s="19">
        <f t="shared" ref="BT158:BT221" si="224">0.5*(BP159-BP158)*(BS158+BS159)</f>
        <v>5205180</v>
      </c>
    </row>
    <row r="159" spans="2:76">
      <c r="B159">
        <v>550</v>
      </c>
      <c r="C159" s="36">
        <v>80.09320000000001</v>
      </c>
      <c r="E159">
        <v>550</v>
      </c>
      <c r="F159" s="36">
        <v>80.09320000000001</v>
      </c>
      <c r="H159" s="19">
        <v>550</v>
      </c>
      <c r="I159" s="36">
        <v>80.09320000000001</v>
      </c>
      <c r="K159">
        <v>1650</v>
      </c>
      <c r="L159" s="36">
        <f>761.701068*(1628/1602)</f>
        <v>774.06325761797757</v>
      </c>
      <c r="N159">
        <v>800</v>
      </c>
      <c r="O159" s="36">
        <v>1193616</v>
      </c>
      <c r="Q159" s="20">
        <v>680</v>
      </c>
      <c r="R159" s="37">
        <v>1046384</v>
      </c>
      <c r="V159">
        <f t="shared" si="208"/>
        <v>550</v>
      </c>
      <c r="W159">
        <f t="shared" si="209"/>
        <v>80.09320000000001</v>
      </c>
      <c r="Y159">
        <f t="shared" si="210"/>
        <v>550</v>
      </c>
      <c r="Z159">
        <f t="shared" si="211"/>
        <v>80.09320000000001</v>
      </c>
      <c r="AA159">
        <f>VLOOKUP(Y159,'Hazard Weighting Functions'!$B$5:$G$1205,2,FALSE)</f>
        <v>0</v>
      </c>
      <c r="AB159">
        <f t="shared" si="212"/>
        <v>0</v>
      </c>
      <c r="AC159">
        <f t="shared" si="213"/>
        <v>0</v>
      </c>
      <c r="AE159">
        <f>VLOOKUP(Y159,'Hazard Weighting Functions'!$B$5:$G$1205,3,FALSE)</f>
        <v>0.01</v>
      </c>
      <c r="AF159">
        <f t="shared" si="214"/>
        <v>0.80093200000000009</v>
      </c>
      <c r="AG159">
        <f t="shared" si="215"/>
        <v>3.6543780000000003</v>
      </c>
      <c r="AH159">
        <f>VLOOKUP(Y159,'Hazard Weighting Functions'!$B$5:$G$1205,5,FALSE)</f>
        <v>0.99495</v>
      </c>
      <c r="AI159">
        <f t="shared" si="216"/>
        <v>79.688729340000009</v>
      </c>
      <c r="AJ159">
        <f t="shared" si="217"/>
        <v>405.72782334999999</v>
      </c>
      <c r="AM159">
        <f t="shared" si="218"/>
        <v>406.73900000000003</v>
      </c>
      <c r="AZ159" s="20">
        <f t="shared" si="182"/>
        <v>680</v>
      </c>
      <c r="BA159" s="20">
        <f t="shared" si="183"/>
        <v>1046384</v>
      </c>
      <c r="BB159" s="19">
        <f>VLOOKUP(AZ159,'Hazard Weighting Functions'!$B$5:$G$1205,3,FALSE)</f>
        <v>1E-3</v>
      </c>
      <c r="BC159" s="19">
        <f t="shared" si="184"/>
        <v>1046.384</v>
      </c>
      <c r="BD159" s="19">
        <f t="shared" si="185"/>
        <v>5257.579999999999</v>
      </c>
      <c r="BF159" s="20">
        <f t="shared" ref="BF159:BG159" si="225">H249</f>
        <v>1000</v>
      </c>
      <c r="BG159" s="20">
        <f t="shared" si="225"/>
        <v>142.65</v>
      </c>
      <c r="BH159" s="19">
        <f>VLOOKUP(BF159,'Hazard Weighting Functions'!$B$5:$G$1205,4,FALSE)</f>
        <v>0.251</v>
      </c>
      <c r="BI159" s="19">
        <f t="shared" si="220"/>
        <v>35.805150000000005</v>
      </c>
      <c r="BJ159" s="19">
        <f t="shared" si="221"/>
        <v>176.56627499999999</v>
      </c>
      <c r="BK159" s="1">
        <f t="shared" si="204"/>
        <v>800</v>
      </c>
      <c r="BL159" s="20">
        <f t="shared" si="205"/>
        <v>1193616</v>
      </c>
      <c r="BM159">
        <f>VLOOKUP(BK159,'Hazard Weighting Functions'!$B$5:$G$1205,4,FALSE)</f>
        <v>0.63100000000000001</v>
      </c>
      <c r="BN159">
        <f t="shared" si="222"/>
        <v>753171.696</v>
      </c>
      <c r="BO159" s="19">
        <f t="shared" si="176"/>
        <v>3727401.3800000004</v>
      </c>
      <c r="BP159" s="20">
        <f t="shared" si="206"/>
        <v>680</v>
      </c>
      <c r="BQ159" s="20">
        <f t="shared" si="206"/>
        <v>1046384</v>
      </c>
      <c r="BR159" s="19">
        <f>VLOOKUP(BP159,'Hazard Weighting Functions'!$B$5:$G$1205,4,FALSE)</f>
        <v>1</v>
      </c>
      <c r="BS159" s="19">
        <f t="shared" si="223"/>
        <v>1046384</v>
      </c>
      <c r="BT159" s="19">
        <f t="shared" si="224"/>
        <v>5257580</v>
      </c>
    </row>
    <row r="160" spans="2:76">
      <c r="B160">
        <v>555</v>
      </c>
      <c r="C160" s="36">
        <v>82.602400000000003</v>
      </c>
      <c r="E160">
        <v>555</v>
      </c>
      <c r="F160" s="36">
        <v>82.602400000000003</v>
      </c>
      <c r="H160" s="19">
        <v>555</v>
      </c>
      <c r="I160" s="36">
        <v>82.602400000000003</v>
      </c>
      <c r="K160">
        <v>1655</v>
      </c>
      <c r="L160" s="36">
        <f>756.14154*(1628/1602)</f>
        <v>768.41350007490632</v>
      </c>
      <c r="N160">
        <v>805</v>
      </c>
      <c r="O160" s="36">
        <v>1195768</v>
      </c>
      <c r="Q160" s="20">
        <v>685</v>
      </c>
      <c r="R160" s="37">
        <v>1056647.9999999998</v>
      </c>
      <c r="V160">
        <f t="shared" si="208"/>
        <v>555</v>
      </c>
      <c r="W160">
        <f t="shared" si="209"/>
        <v>82.602400000000003</v>
      </c>
      <c r="Y160">
        <f t="shared" si="210"/>
        <v>555</v>
      </c>
      <c r="Z160">
        <f t="shared" si="211"/>
        <v>82.602400000000003</v>
      </c>
      <c r="AA160">
        <f>VLOOKUP(Y160,'Hazard Weighting Functions'!$B$5:$G$1205,2,FALSE)</f>
        <v>0</v>
      </c>
      <c r="AB160">
        <f t="shared" si="212"/>
        <v>0</v>
      </c>
      <c r="AC160">
        <f t="shared" si="213"/>
        <v>0</v>
      </c>
      <c r="AE160">
        <f>VLOOKUP(Y160,'Hazard Weighting Functions'!$B$5:$G$1205,3,FALSE)</f>
        <v>8.0000000000000002E-3</v>
      </c>
      <c r="AF160">
        <f t="shared" si="214"/>
        <v>0.66081920000000005</v>
      </c>
      <c r="AG160">
        <f t="shared" si="215"/>
        <v>2.9261675</v>
      </c>
      <c r="AH160">
        <f>VLOOKUP(Y160,'Hazard Weighting Functions'!$B$5:$G$1205,5,FALSE)</f>
        <v>1</v>
      </c>
      <c r="AI160">
        <f t="shared" si="216"/>
        <v>82.602400000000003</v>
      </c>
      <c r="AJ160">
        <f t="shared" si="217"/>
        <v>417.79748374999997</v>
      </c>
      <c r="AM160">
        <f t="shared" si="218"/>
        <v>418.85924999999997</v>
      </c>
      <c r="AZ160" s="20">
        <f t="shared" si="182"/>
        <v>685</v>
      </c>
      <c r="BA160" s="20">
        <f t="shared" si="183"/>
        <v>1056647.9999999998</v>
      </c>
      <c r="BB160" s="19">
        <f>VLOOKUP(AZ160,'Hazard Weighting Functions'!$B$5:$G$1205,3,FALSE)</f>
        <v>1E-3</v>
      </c>
      <c r="BC160" s="19">
        <f t="shared" si="184"/>
        <v>1056.6479999999997</v>
      </c>
      <c r="BD160" s="19">
        <f t="shared" si="185"/>
        <v>5308.44</v>
      </c>
      <c r="BF160" s="20">
        <f t="shared" ref="BF160:BG160" si="226">H250</f>
        <v>1005</v>
      </c>
      <c r="BG160" s="20">
        <f t="shared" si="226"/>
        <v>142.12799999999999</v>
      </c>
      <c r="BH160" s="19">
        <f>VLOOKUP(BF160,'Hazard Weighting Functions'!$B$5:$G$1205,4,FALSE)</f>
        <v>0.245</v>
      </c>
      <c r="BI160" s="19">
        <f t="shared" si="220"/>
        <v>34.821359999999999</v>
      </c>
      <c r="BJ160" s="19">
        <f t="shared" si="221"/>
        <v>172.00919999999996</v>
      </c>
      <c r="BK160" s="1">
        <f t="shared" si="204"/>
        <v>805</v>
      </c>
      <c r="BL160" s="20">
        <f t="shared" si="205"/>
        <v>1195768</v>
      </c>
      <c r="BM160">
        <f>VLOOKUP(BK160,'Hazard Weighting Functions'!$B$5:$G$1205,4,FALSE)</f>
        <v>0.61699999999999999</v>
      </c>
      <c r="BN160">
        <f t="shared" si="222"/>
        <v>737788.85600000003</v>
      </c>
      <c r="BO160" s="19">
        <f t="shared" si="176"/>
        <v>3649902.38</v>
      </c>
      <c r="BP160" s="20">
        <f t="shared" si="206"/>
        <v>685</v>
      </c>
      <c r="BQ160" s="20">
        <f t="shared" si="206"/>
        <v>1056647.9999999998</v>
      </c>
      <c r="BR160" s="19">
        <f>VLOOKUP(BP160,'Hazard Weighting Functions'!$B$5:$G$1205,4,FALSE)</f>
        <v>1</v>
      </c>
      <c r="BS160" s="19">
        <f t="shared" si="223"/>
        <v>1056647.9999999998</v>
      </c>
      <c r="BT160" s="19">
        <f t="shared" si="224"/>
        <v>5308440</v>
      </c>
    </row>
    <row r="161" spans="2:72">
      <c r="B161">
        <v>560</v>
      </c>
      <c r="C161" s="36">
        <v>84.941299999999998</v>
      </c>
      <c r="E161">
        <v>560</v>
      </c>
      <c r="F161" s="36">
        <v>84.941299999999998</v>
      </c>
      <c r="H161" s="19">
        <v>560</v>
      </c>
      <c r="I161" s="36">
        <v>84.941299999999998</v>
      </c>
      <c r="K161">
        <v>1660</v>
      </c>
      <c r="L161" s="36">
        <f>750.617856*(1628/1602)</f>
        <v>762.800168269663</v>
      </c>
      <c r="N161">
        <v>810</v>
      </c>
      <c r="O161" s="36">
        <v>1197632</v>
      </c>
      <c r="Q161" s="20">
        <v>690</v>
      </c>
      <c r="R161" s="37">
        <v>1066728</v>
      </c>
      <c r="V161">
        <f t="shared" si="208"/>
        <v>560</v>
      </c>
      <c r="W161">
        <f t="shared" si="209"/>
        <v>84.941299999999998</v>
      </c>
      <c r="Y161">
        <f t="shared" si="210"/>
        <v>560</v>
      </c>
      <c r="Z161">
        <f t="shared" si="211"/>
        <v>84.941299999999998</v>
      </c>
      <c r="AA161">
        <f>VLOOKUP(Y161,'Hazard Weighting Functions'!$B$5:$G$1205,2,FALSE)</f>
        <v>0</v>
      </c>
      <c r="AB161">
        <f t="shared" si="212"/>
        <v>0</v>
      </c>
      <c r="AC161">
        <f t="shared" si="213"/>
        <v>0</v>
      </c>
      <c r="AE161">
        <f>VLOOKUP(Y161,'Hazard Weighting Functions'!$B$5:$G$1205,3,FALSE)</f>
        <v>6.0000000000000001E-3</v>
      </c>
      <c r="AF161">
        <f t="shared" si="214"/>
        <v>0.50964779999999998</v>
      </c>
      <c r="AG161">
        <f t="shared" si="215"/>
        <v>2.3620595</v>
      </c>
      <c r="AH161">
        <f>VLOOKUP(Y161,'Hazard Weighting Functions'!$B$5:$G$1205,5,FALSE)</f>
        <v>0.995</v>
      </c>
      <c r="AI161">
        <f t="shared" si="216"/>
        <v>84.516593499999999</v>
      </c>
      <c r="AJ161">
        <f t="shared" si="217"/>
        <v>424.22310054999997</v>
      </c>
      <c r="AM161">
        <f t="shared" si="218"/>
        <v>429.94124999999997</v>
      </c>
      <c r="AZ161" s="20">
        <f t="shared" si="182"/>
        <v>690</v>
      </c>
      <c r="BA161" s="20">
        <f t="shared" si="183"/>
        <v>1066728</v>
      </c>
      <c r="BB161" s="19">
        <f>VLOOKUP(AZ161,'Hazard Weighting Functions'!$B$5:$G$1205,3,FALSE)</f>
        <v>1E-3</v>
      </c>
      <c r="BC161" s="19">
        <f t="shared" si="184"/>
        <v>1066.7280000000001</v>
      </c>
      <c r="BD161" s="19">
        <f t="shared" si="185"/>
        <v>5359.9800000000005</v>
      </c>
      <c r="BF161" s="20">
        <f t="shared" ref="BF161:BG161" si="227">H251</f>
        <v>1010</v>
      </c>
      <c r="BG161" s="20">
        <f t="shared" si="227"/>
        <v>141.59299999999999</v>
      </c>
      <c r="BH161" s="19">
        <f>VLOOKUP(BF161,'Hazard Weighting Functions'!$B$5:$G$1205,4,FALSE)</f>
        <v>0.24</v>
      </c>
      <c r="BI161" s="19">
        <f t="shared" si="220"/>
        <v>33.982319999999994</v>
      </c>
      <c r="BJ161" s="19">
        <f t="shared" si="221"/>
        <v>167.46770999999998</v>
      </c>
      <c r="BK161" s="1">
        <f t="shared" si="204"/>
        <v>810</v>
      </c>
      <c r="BL161" s="20">
        <f t="shared" si="205"/>
        <v>1197632</v>
      </c>
      <c r="BM161">
        <f>VLOOKUP(BK161,'Hazard Weighting Functions'!$B$5:$G$1205,4,FALSE)</f>
        <v>0.60299999999999998</v>
      </c>
      <c r="BN161">
        <f t="shared" si="222"/>
        <v>722172.09600000002</v>
      </c>
      <c r="BO161" s="19">
        <f t="shared" si="176"/>
        <v>3571252.2399999998</v>
      </c>
      <c r="BP161" s="20">
        <f t="shared" si="206"/>
        <v>690</v>
      </c>
      <c r="BQ161" s="20">
        <f t="shared" si="206"/>
        <v>1066728</v>
      </c>
      <c r="BR161" s="19">
        <f>VLOOKUP(BP161,'Hazard Weighting Functions'!$B$5:$G$1205,4,FALSE)</f>
        <v>1</v>
      </c>
      <c r="BS161" s="19">
        <f t="shared" si="223"/>
        <v>1066728</v>
      </c>
      <c r="BT161" s="19">
        <f t="shared" si="224"/>
        <v>5359980</v>
      </c>
    </row>
    <row r="162" spans="2:72">
      <c r="B162">
        <v>565</v>
      </c>
      <c r="C162" s="36">
        <v>87.035200000000003</v>
      </c>
      <c r="E162">
        <v>565</v>
      </c>
      <c r="F162" s="36">
        <v>87.035200000000003</v>
      </c>
      <c r="H162" s="19">
        <v>565</v>
      </c>
      <c r="I162" s="36">
        <v>87.035200000000003</v>
      </c>
      <c r="K162">
        <v>1665</v>
      </c>
      <c r="L162" s="36">
        <f>745.131252*(1628/1602)</f>
        <v>757.22451826217218</v>
      </c>
      <c r="N162">
        <v>815</v>
      </c>
      <c r="O162" s="36">
        <v>1199200</v>
      </c>
      <c r="Q162" s="20">
        <v>695</v>
      </c>
      <c r="R162" s="37">
        <v>1077263.9999999998</v>
      </c>
      <c r="V162">
        <f t="shared" si="208"/>
        <v>565</v>
      </c>
      <c r="W162">
        <f t="shared" si="209"/>
        <v>87.035200000000003</v>
      </c>
      <c r="Y162">
        <f t="shared" si="210"/>
        <v>565</v>
      </c>
      <c r="Z162">
        <f t="shared" si="211"/>
        <v>87.035200000000003</v>
      </c>
      <c r="AA162">
        <f>VLOOKUP(Y162,'Hazard Weighting Functions'!$B$5:$G$1205,2,FALSE)</f>
        <v>0</v>
      </c>
      <c r="AB162">
        <f t="shared" si="212"/>
        <v>0</v>
      </c>
      <c r="AC162">
        <f t="shared" si="213"/>
        <v>0</v>
      </c>
      <c r="AE162">
        <f>VLOOKUP(Y162,'Hazard Weighting Functions'!$B$5:$G$1205,3,FALSE)</f>
        <v>5.0000000000000001E-3</v>
      </c>
      <c r="AF162">
        <f t="shared" si="214"/>
        <v>0.43517600000000001</v>
      </c>
      <c r="AG162">
        <f t="shared" si="215"/>
        <v>1.9810569999999998</v>
      </c>
      <c r="AH162">
        <f>VLOOKUP(Y162,'Hazard Weighting Functions'!$B$5:$G$1205,5,FALSE)</f>
        <v>0.97860000000000003</v>
      </c>
      <c r="AI162">
        <f t="shared" si="216"/>
        <v>85.172646720000003</v>
      </c>
      <c r="AJ162">
        <f t="shared" si="217"/>
        <v>425.49346280000003</v>
      </c>
      <c r="AM162">
        <f t="shared" si="218"/>
        <v>440.86725000000001</v>
      </c>
      <c r="AZ162" s="20">
        <f t="shared" si="182"/>
        <v>695</v>
      </c>
      <c r="BA162" s="20">
        <f t="shared" si="183"/>
        <v>1077263.9999999998</v>
      </c>
      <c r="BB162" s="19">
        <f>VLOOKUP(AZ162,'Hazard Weighting Functions'!$B$5:$G$1205,3,FALSE)</f>
        <v>1E-3</v>
      </c>
      <c r="BC162" s="19">
        <f t="shared" si="184"/>
        <v>1077.2639999999999</v>
      </c>
      <c r="BD162" s="19">
        <f t="shared" si="185"/>
        <v>5410.4</v>
      </c>
      <c r="BF162" s="20">
        <f t="shared" ref="BF162:BG162" si="228">H252</f>
        <v>1015</v>
      </c>
      <c r="BG162" s="20">
        <f t="shared" si="228"/>
        <v>141.04599999999999</v>
      </c>
      <c r="BH162" s="19">
        <f>VLOOKUP(BF162,'Hazard Weighting Functions'!$B$5:$G$1205,4,FALSE)</f>
        <v>0.23400000000000001</v>
      </c>
      <c r="BI162" s="19">
        <f t="shared" si="220"/>
        <v>33.004764000000002</v>
      </c>
      <c r="BJ162" s="19">
        <f t="shared" si="221"/>
        <v>162.94071750000001</v>
      </c>
      <c r="BK162" s="1">
        <f t="shared" si="204"/>
        <v>815</v>
      </c>
      <c r="BL162" s="20">
        <f t="shared" si="205"/>
        <v>1199200</v>
      </c>
      <c r="BM162">
        <f>VLOOKUP(BK162,'Hazard Weighting Functions'!$B$5:$G$1205,4,FALSE)</f>
        <v>0.58899999999999997</v>
      </c>
      <c r="BN162">
        <f t="shared" si="222"/>
        <v>706328.79999999993</v>
      </c>
      <c r="BO162" s="19">
        <f t="shared" si="176"/>
        <v>3491511.9999999995</v>
      </c>
      <c r="BP162" s="20">
        <f t="shared" si="206"/>
        <v>695</v>
      </c>
      <c r="BQ162" s="20">
        <f t="shared" si="206"/>
        <v>1077263.9999999998</v>
      </c>
      <c r="BR162" s="19">
        <f>VLOOKUP(BP162,'Hazard Weighting Functions'!$B$5:$G$1205,4,FALSE)</f>
        <v>1</v>
      </c>
      <c r="BS162" s="19">
        <f t="shared" si="223"/>
        <v>1077263.9999999998</v>
      </c>
      <c r="BT162" s="19">
        <f t="shared" si="224"/>
        <v>5410399.9999999991</v>
      </c>
    </row>
    <row r="163" spans="2:72">
      <c r="B163">
        <v>570</v>
      </c>
      <c r="C163" s="36">
        <v>89.311700000000002</v>
      </c>
      <c r="E163">
        <v>570</v>
      </c>
      <c r="F163" s="36">
        <v>89.311700000000002</v>
      </c>
      <c r="H163" s="19">
        <v>570</v>
      </c>
      <c r="I163" s="36">
        <v>89.311700000000002</v>
      </c>
      <c r="K163">
        <v>1670</v>
      </c>
      <c r="L163" s="36">
        <f>739.681728*(1628/1602)</f>
        <v>751.68655005243454</v>
      </c>
      <c r="N163">
        <v>820</v>
      </c>
      <c r="O163" s="36">
        <v>1200480</v>
      </c>
      <c r="Q163" s="20">
        <v>700</v>
      </c>
      <c r="R163" s="37">
        <v>1086895.9999999998</v>
      </c>
      <c r="V163">
        <f t="shared" si="208"/>
        <v>570</v>
      </c>
      <c r="W163">
        <f t="shared" si="209"/>
        <v>89.311700000000002</v>
      </c>
      <c r="Y163">
        <f t="shared" si="210"/>
        <v>570</v>
      </c>
      <c r="Z163">
        <f t="shared" si="211"/>
        <v>89.311700000000002</v>
      </c>
      <c r="AA163">
        <f>VLOOKUP(Y163,'Hazard Weighting Functions'!$B$5:$G$1205,2,FALSE)</f>
        <v>0</v>
      </c>
      <c r="AB163">
        <f t="shared" si="212"/>
        <v>0</v>
      </c>
      <c r="AC163">
        <f t="shared" si="213"/>
        <v>0</v>
      </c>
      <c r="AE163">
        <f>VLOOKUP(Y163,'Hazard Weighting Functions'!$B$5:$G$1205,3,FALSE)</f>
        <v>4.0000000000000001E-3</v>
      </c>
      <c r="AF163">
        <f t="shared" si="214"/>
        <v>0.35724680000000003</v>
      </c>
      <c r="AG163">
        <f t="shared" si="215"/>
        <v>1.58086175</v>
      </c>
      <c r="AH163">
        <f>VLOOKUP(Y163,'Hazard Weighting Functions'!$B$5:$G$1205,5,FALSE)</f>
        <v>0.95199999999999996</v>
      </c>
      <c r="AI163">
        <f t="shared" si="216"/>
        <v>85.024738400000004</v>
      </c>
      <c r="AJ163">
        <f t="shared" si="217"/>
        <v>422.41569405000001</v>
      </c>
      <c r="AM163">
        <f t="shared" si="218"/>
        <v>452.52749999999997</v>
      </c>
      <c r="AZ163" s="20">
        <f t="shared" si="182"/>
        <v>700</v>
      </c>
      <c r="BA163" s="20">
        <f t="shared" si="183"/>
        <v>1086895.9999999998</v>
      </c>
      <c r="BB163" s="19">
        <f>VLOOKUP(AZ163,'Hazard Weighting Functions'!$B$5:$G$1205,3,FALSE)</f>
        <v>1E-3</v>
      </c>
      <c r="BC163" s="19">
        <f t="shared" si="184"/>
        <v>1086.8959999999997</v>
      </c>
      <c r="BD163" s="19"/>
      <c r="BF163" s="20">
        <f t="shared" ref="BF163:BG163" si="229">H253</f>
        <v>1020</v>
      </c>
      <c r="BG163" s="20">
        <f t="shared" si="229"/>
        <v>140.48699999999999</v>
      </c>
      <c r="BH163" s="19">
        <f>VLOOKUP(BF163,'Hazard Weighting Functions'!$B$5:$G$1205,4,FALSE)</f>
        <v>0.22900000000000001</v>
      </c>
      <c r="BI163" s="19">
        <f t="shared" si="220"/>
        <v>32.171523000000001</v>
      </c>
      <c r="BJ163" s="19">
        <f t="shared" si="221"/>
        <v>158.78232750000001</v>
      </c>
      <c r="BK163" s="1">
        <f t="shared" si="204"/>
        <v>820</v>
      </c>
      <c r="BL163" s="20">
        <f t="shared" si="205"/>
        <v>1200480</v>
      </c>
      <c r="BM163">
        <f>VLOOKUP(BK163,'Hazard Weighting Functions'!$B$5:$G$1205,4,FALSE)</f>
        <v>0.57499999999999996</v>
      </c>
      <c r="BN163">
        <f t="shared" si="222"/>
        <v>690276</v>
      </c>
      <c r="BO163" s="19">
        <f t="shared" si="176"/>
        <v>3415174.4</v>
      </c>
      <c r="BP163" s="20">
        <f t="shared" si="206"/>
        <v>700</v>
      </c>
      <c r="BQ163" s="20">
        <f t="shared" si="206"/>
        <v>1086895.9999999998</v>
      </c>
      <c r="BR163" s="19">
        <f>VLOOKUP(BP163,'Hazard Weighting Functions'!$B$5:$G$1205,4,FALSE)</f>
        <v>1</v>
      </c>
      <c r="BS163" s="19">
        <f t="shared" si="223"/>
        <v>1086895.9999999998</v>
      </c>
      <c r="BT163" s="19">
        <f t="shared" si="224"/>
        <v>5393926.8999999994</v>
      </c>
    </row>
    <row r="164" spans="2:72">
      <c r="B164">
        <v>575</v>
      </c>
      <c r="C164" s="36">
        <v>91.699299999999994</v>
      </c>
      <c r="E164">
        <v>575</v>
      </c>
      <c r="F164" s="36">
        <v>91.699299999999994</v>
      </c>
      <c r="H164" s="19">
        <v>575</v>
      </c>
      <c r="I164" s="36">
        <v>91.699299999999994</v>
      </c>
      <c r="K164">
        <v>1675</v>
      </c>
      <c r="L164" s="36">
        <f>734.269284*(1628/1602)</f>
        <v>746.1862636404494</v>
      </c>
      <c r="N164">
        <v>825</v>
      </c>
      <c r="O164" s="36">
        <v>1202480</v>
      </c>
      <c r="Q164" s="20">
        <v>705</v>
      </c>
      <c r="R164" s="37">
        <v>1095880</v>
      </c>
      <c r="V164">
        <f t="shared" si="208"/>
        <v>575</v>
      </c>
      <c r="W164">
        <f t="shared" si="209"/>
        <v>91.699299999999994</v>
      </c>
      <c r="Y164">
        <f t="shared" si="210"/>
        <v>575</v>
      </c>
      <c r="Z164">
        <f t="shared" si="211"/>
        <v>91.699299999999994</v>
      </c>
      <c r="AA164">
        <f>VLOOKUP(Y164,'Hazard Weighting Functions'!$B$5:$G$1205,2,FALSE)</f>
        <v>0</v>
      </c>
      <c r="AB164">
        <f t="shared" si="212"/>
        <v>0</v>
      </c>
      <c r="AC164">
        <f t="shared" si="213"/>
        <v>0</v>
      </c>
      <c r="AE164">
        <f>VLOOKUP(Y164,'Hazard Weighting Functions'!$B$5:$G$1205,3,FALSE)</f>
        <v>3.0000000000000001E-3</v>
      </c>
      <c r="AF164">
        <f t="shared" si="214"/>
        <v>0.27509790000000001</v>
      </c>
      <c r="AG164">
        <f t="shared" si="215"/>
        <v>1.15755275</v>
      </c>
      <c r="AH164">
        <f>VLOOKUP(Y164,'Hazard Weighting Functions'!$B$5:$G$1205,5,FALSE)</f>
        <v>0.91539999999999999</v>
      </c>
      <c r="AI164">
        <f t="shared" si="216"/>
        <v>83.941539219999996</v>
      </c>
      <c r="AJ164">
        <f t="shared" si="217"/>
        <v>414.22032805000003</v>
      </c>
      <c r="AM164">
        <f t="shared" si="218"/>
        <v>464.15224999999998</v>
      </c>
      <c r="BF164" s="20">
        <f t="shared" ref="BF164:BG164" si="230">H254</f>
        <v>1025</v>
      </c>
      <c r="BG164" s="20">
        <f t="shared" si="230"/>
        <v>139.917</v>
      </c>
      <c r="BH164" s="19">
        <f>VLOOKUP(BF164,'Hazard Weighting Functions'!$B$5:$G$1205,4,FALSE)</f>
        <v>0.224</v>
      </c>
      <c r="BI164" s="19">
        <f t="shared" si="220"/>
        <v>31.341408000000001</v>
      </c>
      <c r="BJ164" s="19">
        <f t="shared" si="221"/>
        <v>154.63998000000001</v>
      </c>
      <c r="BK164" s="1">
        <f t="shared" si="204"/>
        <v>825</v>
      </c>
      <c r="BL164" s="20">
        <f t="shared" si="205"/>
        <v>1202480</v>
      </c>
      <c r="BM164">
        <f>VLOOKUP(BK164,'Hazard Weighting Functions'!$B$5:$G$1205,4,FALSE)</f>
        <v>0.56200000000000006</v>
      </c>
      <c r="BN164">
        <f t="shared" si="222"/>
        <v>675793.76</v>
      </c>
      <c r="BO164" s="19">
        <f t="shared" si="176"/>
        <v>3345270.4000000004</v>
      </c>
      <c r="BP164" s="20">
        <f t="shared" si="206"/>
        <v>705</v>
      </c>
      <c r="BQ164" s="20">
        <f t="shared" si="206"/>
        <v>1095880</v>
      </c>
      <c r="BR164" s="19">
        <f>VLOOKUP(BP164,'Hazard Weighting Functions'!$B$5:$G$1205,4,FALSE)</f>
        <v>0.97699999999999998</v>
      </c>
      <c r="BS164" s="19">
        <f t="shared" si="223"/>
        <v>1070674.76</v>
      </c>
      <c r="BT164" s="19">
        <f t="shared" si="224"/>
        <v>5312238.5999999987</v>
      </c>
    </row>
    <row r="165" spans="2:72">
      <c r="B165">
        <v>580</v>
      </c>
      <c r="C165" s="36">
        <v>93.961600000000004</v>
      </c>
      <c r="E165">
        <v>580</v>
      </c>
      <c r="F165" s="36">
        <v>93.961600000000004</v>
      </c>
      <c r="H165" s="19">
        <v>580</v>
      </c>
      <c r="I165" s="36">
        <v>93.961600000000004</v>
      </c>
      <c r="K165">
        <v>1680</v>
      </c>
      <c r="L165" s="36">
        <f>728.892684*(1628/1602)</f>
        <v>740.72240296629207</v>
      </c>
      <c r="N165">
        <v>830</v>
      </c>
      <c r="O165" s="36">
        <v>1204208</v>
      </c>
      <c r="Q165" s="20">
        <v>710</v>
      </c>
      <c r="R165" s="37">
        <v>1103895.9999999998</v>
      </c>
      <c r="V165">
        <f t="shared" si="208"/>
        <v>580</v>
      </c>
      <c r="W165">
        <f t="shared" si="209"/>
        <v>93.961600000000004</v>
      </c>
      <c r="Y165">
        <f t="shared" si="210"/>
        <v>580</v>
      </c>
      <c r="Z165">
        <f t="shared" si="211"/>
        <v>93.961600000000004</v>
      </c>
      <c r="AA165">
        <f>VLOOKUP(Y165,'Hazard Weighting Functions'!$B$5:$G$1205,2,FALSE)</f>
        <v>0</v>
      </c>
      <c r="AB165">
        <f t="shared" si="212"/>
        <v>0</v>
      </c>
      <c r="AC165">
        <f t="shared" si="213"/>
        <v>0</v>
      </c>
      <c r="AE165">
        <f>VLOOKUP(Y165,'Hazard Weighting Functions'!$B$5:$G$1205,3,FALSE)</f>
        <v>2E-3</v>
      </c>
      <c r="AF165">
        <f t="shared" si="214"/>
        <v>0.18792320000000001</v>
      </c>
      <c r="AG165">
        <f t="shared" si="215"/>
        <v>0.71005399999999996</v>
      </c>
      <c r="AH165">
        <f>VLOOKUP(Y165,'Hazard Weighting Functions'!$B$5:$G$1205,5,FALSE)</f>
        <v>0.87</v>
      </c>
      <c r="AI165">
        <f t="shared" si="216"/>
        <v>81.746592000000007</v>
      </c>
      <c r="AJ165">
        <f t="shared" si="217"/>
        <v>400.4792898</v>
      </c>
      <c r="AM165">
        <f t="shared" si="218"/>
        <v>475.15</v>
      </c>
      <c r="BF165" s="20">
        <f t="shared" ref="BF165:BG165" si="231">H255</f>
        <v>1030</v>
      </c>
      <c r="BG165" s="20">
        <f t="shared" si="231"/>
        <v>139.33600000000001</v>
      </c>
      <c r="BH165" s="19">
        <f>VLOOKUP(BF165,'Hazard Weighting Functions'!$B$5:$G$1205,4,FALSE)</f>
        <v>0.219</v>
      </c>
      <c r="BI165" s="19">
        <f t="shared" si="220"/>
        <v>30.514584000000003</v>
      </c>
      <c r="BJ165" s="19">
        <f t="shared" si="221"/>
        <v>150.51503500000001</v>
      </c>
      <c r="BK165" s="1">
        <f t="shared" si="204"/>
        <v>830</v>
      </c>
      <c r="BL165" s="20">
        <f t="shared" si="205"/>
        <v>1204208</v>
      </c>
      <c r="BM165">
        <f>VLOOKUP(BK165,'Hazard Weighting Functions'!$B$5:$G$1205,4,FALSE)</f>
        <v>0.55000000000000004</v>
      </c>
      <c r="BN165">
        <f t="shared" si="222"/>
        <v>662314.4</v>
      </c>
      <c r="BO165" s="19">
        <f t="shared" si="176"/>
        <v>3274400.66</v>
      </c>
      <c r="BP165" s="20">
        <f t="shared" si="206"/>
        <v>710</v>
      </c>
      <c r="BQ165" s="20">
        <f t="shared" si="206"/>
        <v>1103895.9999999998</v>
      </c>
      <c r="BR165" s="19">
        <f>VLOOKUP(BP165,'Hazard Weighting Functions'!$B$5:$G$1205,4,FALSE)</f>
        <v>0.95499999999999996</v>
      </c>
      <c r="BS165" s="19">
        <f t="shared" si="223"/>
        <v>1054220.6799999997</v>
      </c>
      <c r="BT165" s="19">
        <f t="shared" si="224"/>
        <v>5228452</v>
      </c>
    </row>
    <row r="166" spans="2:72">
      <c r="B166">
        <v>585</v>
      </c>
      <c r="C166" s="36">
        <v>96.098399999999998</v>
      </c>
      <c r="E166">
        <v>585</v>
      </c>
      <c r="F166" s="36">
        <v>96.098399999999998</v>
      </c>
      <c r="H166" s="19">
        <v>585</v>
      </c>
      <c r="I166" s="36">
        <v>96.098399999999998</v>
      </c>
      <c r="K166">
        <v>1685</v>
      </c>
      <c r="L166" s="36">
        <f>723.5544*(1628/1602)</f>
        <v>735.29748014981271</v>
      </c>
      <c r="N166">
        <v>835</v>
      </c>
      <c r="O166" s="36">
        <v>1205672</v>
      </c>
      <c r="Q166" s="20">
        <v>715</v>
      </c>
      <c r="R166" s="37">
        <v>1111640</v>
      </c>
      <c r="V166">
        <f t="shared" si="208"/>
        <v>585</v>
      </c>
      <c r="W166">
        <f t="shared" si="209"/>
        <v>96.098399999999998</v>
      </c>
      <c r="Y166">
        <f t="shared" si="210"/>
        <v>585</v>
      </c>
      <c r="Z166">
        <f t="shared" si="211"/>
        <v>96.098399999999998</v>
      </c>
      <c r="AA166">
        <f>VLOOKUP(Y166,'Hazard Weighting Functions'!$B$5:$G$1205,2,FALSE)</f>
        <v>0</v>
      </c>
      <c r="AB166">
        <f t="shared" si="212"/>
        <v>0</v>
      </c>
      <c r="AC166">
        <f t="shared" si="213"/>
        <v>0</v>
      </c>
      <c r="AE166">
        <f>VLOOKUP(Y166,'Hazard Weighting Functions'!$B$5:$G$1205,3,FALSE)</f>
        <v>1E-3</v>
      </c>
      <c r="AF166">
        <f t="shared" si="214"/>
        <v>9.60984E-2</v>
      </c>
      <c r="AG166">
        <f t="shared" si="215"/>
        <v>0.48573499999999997</v>
      </c>
      <c r="AH166">
        <f>VLOOKUP(Y166,'Hazard Weighting Functions'!$B$5:$G$1205,5,FALSE)</f>
        <v>0.81630000000000003</v>
      </c>
      <c r="AI166">
        <f t="shared" si="216"/>
        <v>78.44512392</v>
      </c>
      <c r="AJ166">
        <f t="shared" si="217"/>
        <v>381.94798279999998</v>
      </c>
      <c r="AM166">
        <f t="shared" si="218"/>
        <v>485.73499999999996</v>
      </c>
      <c r="BF166" s="20">
        <f t="shared" ref="BF166:BG166" si="232">H256</f>
        <v>1035</v>
      </c>
      <c r="BG166" s="20">
        <f t="shared" si="232"/>
        <v>138.745</v>
      </c>
      <c r="BH166" s="19">
        <f>VLOOKUP(BF166,'Hazard Weighting Functions'!$B$5:$G$1205,4,FALSE)</f>
        <v>0.214</v>
      </c>
      <c r="BI166" s="19">
        <f t="shared" si="220"/>
        <v>29.69143</v>
      </c>
      <c r="BJ166" s="19">
        <f t="shared" si="221"/>
        <v>146.408815</v>
      </c>
      <c r="BK166" s="1">
        <f t="shared" si="204"/>
        <v>835</v>
      </c>
      <c r="BL166" s="20">
        <f t="shared" si="205"/>
        <v>1205672</v>
      </c>
      <c r="BM166">
        <f>VLOOKUP(BK166,'Hazard Weighting Functions'!$B$5:$G$1205,4,FALSE)</f>
        <v>0.53700000000000003</v>
      </c>
      <c r="BN166">
        <f t="shared" si="222"/>
        <v>647445.86400000006</v>
      </c>
      <c r="BO166" s="19">
        <f t="shared" si="176"/>
        <v>3202655.16</v>
      </c>
      <c r="BP166" s="20">
        <f t="shared" si="206"/>
        <v>715</v>
      </c>
      <c r="BQ166" s="20">
        <f t="shared" si="206"/>
        <v>1111640</v>
      </c>
      <c r="BR166" s="19">
        <f>VLOOKUP(BP166,'Hazard Weighting Functions'!$B$5:$G$1205,4,FALSE)</f>
        <v>0.93300000000000005</v>
      </c>
      <c r="BS166" s="19">
        <f t="shared" si="223"/>
        <v>1037160.1200000001</v>
      </c>
      <c r="BT166" s="19">
        <f t="shared" si="224"/>
        <v>5143253.58</v>
      </c>
    </row>
    <row r="167" spans="2:72">
      <c r="B167">
        <v>590</v>
      </c>
      <c r="C167" s="36">
        <v>98.195599999999999</v>
      </c>
      <c r="E167">
        <v>590</v>
      </c>
      <c r="F167" s="36">
        <v>98.195599999999999</v>
      </c>
      <c r="H167" s="19">
        <v>590</v>
      </c>
      <c r="I167" s="36">
        <v>98.195599999999999</v>
      </c>
      <c r="K167">
        <v>1690</v>
      </c>
      <c r="L167" s="36">
        <f>718.250724*(1628/1602)</f>
        <v>729.90772701123592</v>
      </c>
      <c r="N167">
        <v>840</v>
      </c>
      <c r="O167" s="36">
        <v>1206887.9999999998</v>
      </c>
      <c r="Q167" s="20">
        <v>720</v>
      </c>
      <c r="R167" s="37">
        <v>1118576</v>
      </c>
      <c r="V167">
        <f t="shared" si="208"/>
        <v>590</v>
      </c>
      <c r="W167">
        <f t="shared" si="209"/>
        <v>98.195599999999999</v>
      </c>
      <c r="Y167">
        <f t="shared" si="210"/>
        <v>590</v>
      </c>
      <c r="Z167">
        <f t="shared" si="211"/>
        <v>98.195599999999999</v>
      </c>
      <c r="AA167">
        <f>VLOOKUP(Y167,'Hazard Weighting Functions'!$B$5:$G$1205,2,FALSE)</f>
        <v>0</v>
      </c>
      <c r="AB167">
        <f t="shared" si="212"/>
        <v>0</v>
      </c>
      <c r="AC167">
        <f t="shared" si="213"/>
        <v>0</v>
      </c>
      <c r="AE167">
        <f>VLOOKUP(Y167,'Hazard Weighting Functions'!$B$5:$G$1205,3,FALSE)</f>
        <v>1E-3</v>
      </c>
      <c r="AF167">
        <f t="shared" si="214"/>
        <v>9.8195599999999994E-2</v>
      </c>
      <c r="AG167">
        <f t="shared" si="215"/>
        <v>0.49658649999999999</v>
      </c>
      <c r="AH167">
        <f>VLOOKUP(Y167,'Hazard Weighting Functions'!$B$5:$G$1205,5,FALSE)</f>
        <v>0.75700000000000001</v>
      </c>
      <c r="AI167">
        <f t="shared" si="216"/>
        <v>74.334069200000002</v>
      </c>
      <c r="AJ167">
        <f t="shared" si="217"/>
        <v>360.32282574999999</v>
      </c>
      <c r="AM167">
        <f t="shared" si="218"/>
        <v>496.5865</v>
      </c>
      <c r="BF167" s="20">
        <f t="shared" ref="BF167:BG167" si="233">H257</f>
        <v>1040</v>
      </c>
      <c r="BG167" s="20">
        <f t="shared" si="233"/>
        <v>138.14400000000001</v>
      </c>
      <c r="BH167" s="19">
        <f>VLOOKUP(BF167,'Hazard Weighting Functions'!$B$5:$G$1205,4,FALSE)</f>
        <v>0.20899999999999999</v>
      </c>
      <c r="BI167" s="19">
        <f t="shared" si="220"/>
        <v>28.872095999999999</v>
      </c>
      <c r="BJ167" s="19">
        <f t="shared" si="221"/>
        <v>142.32207</v>
      </c>
      <c r="BK167" s="1">
        <f t="shared" si="204"/>
        <v>840</v>
      </c>
      <c r="BL167" s="20">
        <f t="shared" si="205"/>
        <v>1206887.9999999998</v>
      </c>
      <c r="BM167">
        <f>VLOOKUP(BK167,'Hazard Weighting Functions'!$B$5:$G$1205,4,FALSE)</f>
        <v>0.52500000000000002</v>
      </c>
      <c r="BN167">
        <f t="shared" si="222"/>
        <v>633616.19999999995</v>
      </c>
      <c r="BO167" s="19">
        <f t="shared" si="176"/>
        <v>3133669.8600000003</v>
      </c>
      <c r="BP167" s="20">
        <f t="shared" si="206"/>
        <v>720</v>
      </c>
      <c r="BQ167" s="20">
        <f t="shared" si="206"/>
        <v>1118576</v>
      </c>
      <c r="BR167" s="19">
        <f>VLOOKUP(BP167,'Hazard Weighting Functions'!$B$5:$G$1205,4,FALSE)</f>
        <v>0.91200000000000003</v>
      </c>
      <c r="BS167" s="19">
        <f t="shared" si="223"/>
        <v>1020141.312</v>
      </c>
      <c r="BT167" s="19">
        <f t="shared" si="224"/>
        <v>5058785.58</v>
      </c>
    </row>
    <row r="168" spans="2:72">
      <c r="B168">
        <v>595</v>
      </c>
      <c r="C168" s="36">
        <v>100.43900000000001</v>
      </c>
      <c r="E168">
        <v>595</v>
      </c>
      <c r="F168" s="36">
        <v>100.43900000000001</v>
      </c>
      <c r="H168" s="19">
        <v>595</v>
      </c>
      <c r="I168" s="36">
        <v>100.43900000000001</v>
      </c>
      <c r="K168">
        <v>1695</v>
      </c>
      <c r="L168" s="36">
        <f>712.984128*(1628/1602)</f>
        <v>724.55565567041208</v>
      </c>
      <c r="N168">
        <v>845</v>
      </c>
      <c r="O168" s="36">
        <v>1208288</v>
      </c>
      <c r="Q168" s="20">
        <v>725</v>
      </c>
      <c r="R168" s="37">
        <v>1126119.9999999998</v>
      </c>
      <c r="V168">
        <f t="shared" si="208"/>
        <v>595</v>
      </c>
      <c r="W168">
        <f t="shared" si="209"/>
        <v>100.43900000000001</v>
      </c>
      <c r="Y168">
        <f t="shared" si="210"/>
        <v>595</v>
      </c>
      <c r="Z168">
        <f t="shared" si="211"/>
        <v>100.43900000000001</v>
      </c>
      <c r="AA168">
        <f>VLOOKUP(Y168,'Hazard Weighting Functions'!$B$5:$G$1205,2,FALSE)</f>
        <v>0</v>
      </c>
      <c r="AB168">
        <f t="shared" si="212"/>
        <v>0</v>
      </c>
      <c r="AC168">
        <f t="shared" si="213"/>
        <v>0</v>
      </c>
      <c r="AE168">
        <f>VLOOKUP(Y168,'Hazard Weighting Functions'!$B$5:$G$1205,3,FALSE)</f>
        <v>1E-3</v>
      </c>
      <c r="AF168">
        <f t="shared" si="214"/>
        <v>0.10043900000000001</v>
      </c>
      <c r="AG168">
        <f t="shared" si="215"/>
        <v>0.50762499999999999</v>
      </c>
      <c r="AH168">
        <f>VLOOKUP(Y168,'Hazard Weighting Functions'!$B$5:$G$1205,5,FALSE)</f>
        <v>0.69489999999999996</v>
      </c>
      <c r="AI168">
        <f t="shared" si="216"/>
        <v>69.795061099999998</v>
      </c>
      <c r="AJ168">
        <f t="shared" si="217"/>
        <v>336.35650525000005</v>
      </c>
      <c r="AM168">
        <f t="shared" si="218"/>
        <v>507.625</v>
      </c>
      <c r="BF168" s="20">
        <f t="shared" ref="BF168:BG168" si="234">H258</f>
        <v>1045</v>
      </c>
      <c r="BG168" s="20">
        <f t="shared" si="234"/>
        <v>137.53299999999999</v>
      </c>
      <c r="BH168" s="19">
        <f>VLOOKUP(BF168,'Hazard Weighting Functions'!$B$5:$G$1205,4,FALSE)</f>
        <v>0.20399999999999999</v>
      </c>
      <c r="BI168" s="19">
        <f t="shared" si="220"/>
        <v>28.056731999999997</v>
      </c>
      <c r="BJ168" s="19">
        <f t="shared" si="221"/>
        <v>138.59833</v>
      </c>
      <c r="BK168" s="1">
        <f t="shared" si="204"/>
        <v>845</v>
      </c>
      <c r="BL168" s="20">
        <f t="shared" si="205"/>
        <v>1208288</v>
      </c>
      <c r="BM168">
        <f>VLOOKUP(BK168,'Hazard Weighting Functions'!$B$5:$G$1205,4,FALSE)</f>
        <v>0.51300000000000001</v>
      </c>
      <c r="BN168">
        <f t="shared" si="222"/>
        <v>619851.74400000006</v>
      </c>
      <c r="BO168" s="19">
        <f t="shared" si="176"/>
        <v>3064452.96</v>
      </c>
      <c r="BP168" s="20">
        <f t="shared" si="206"/>
        <v>725</v>
      </c>
      <c r="BQ168" s="20">
        <f t="shared" si="206"/>
        <v>1126119.9999999998</v>
      </c>
      <c r="BR168" s="19">
        <f>VLOOKUP(BP168,'Hazard Weighting Functions'!$B$5:$G$1205,4,FALSE)</f>
        <v>0.89100000000000001</v>
      </c>
      <c r="BS168" s="19">
        <f t="shared" si="223"/>
        <v>1003372.9199999998</v>
      </c>
      <c r="BT168" s="19">
        <f t="shared" si="224"/>
        <v>4976706.9399999995</v>
      </c>
    </row>
    <row r="169" spans="2:72">
      <c r="B169">
        <v>600</v>
      </c>
      <c r="C169" s="36">
        <v>102.611</v>
      </c>
      <c r="E169">
        <v>600</v>
      </c>
      <c r="F169" s="36">
        <v>102.611</v>
      </c>
      <c r="H169" s="19">
        <v>600</v>
      </c>
      <c r="I169" s="36">
        <v>102.611</v>
      </c>
      <c r="K169">
        <v>1700</v>
      </c>
      <c r="L169" s="36">
        <f>707.753376*(1628/1602)</f>
        <v>719.24001006741571</v>
      </c>
      <c r="N169">
        <v>850</v>
      </c>
      <c r="O169" s="36">
        <v>1209440</v>
      </c>
      <c r="Q169" s="20">
        <v>730</v>
      </c>
      <c r="R169" s="37">
        <v>1133536</v>
      </c>
      <c r="V169">
        <f t="shared" si="208"/>
        <v>600</v>
      </c>
      <c r="W169">
        <f t="shared" si="209"/>
        <v>102.611</v>
      </c>
      <c r="Y169">
        <f t="shared" si="210"/>
        <v>600</v>
      </c>
      <c r="Z169">
        <f t="shared" si="211"/>
        <v>102.611</v>
      </c>
      <c r="AA169">
        <f>VLOOKUP(Y169,'Hazard Weighting Functions'!$B$5:$G$1205,2,FALSE)</f>
        <v>0</v>
      </c>
      <c r="AB169">
        <f t="shared" si="212"/>
        <v>0</v>
      </c>
      <c r="AC169">
        <f t="shared" si="213"/>
        <v>0</v>
      </c>
      <c r="AE169">
        <f>VLOOKUP(Y169,'Hazard Weighting Functions'!$B$5:$G$1205,3,FALSE)</f>
        <v>1E-3</v>
      </c>
      <c r="AF169">
        <f t="shared" si="214"/>
        <v>0.10261100000000001</v>
      </c>
      <c r="AG169">
        <f t="shared" si="215"/>
        <v>0.51817250000000004</v>
      </c>
      <c r="AH169">
        <f>VLOOKUP(Y169,'Hazard Weighting Functions'!$B$5:$G$1205,5,FALSE)</f>
        <v>0.63100000000000001</v>
      </c>
      <c r="AI169">
        <f t="shared" si="216"/>
        <v>64.747540999999998</v>
      </c>
      <c r="AJ169">
        <f t="shared" si="217"/>
        <v>310.16923850000001</v>
      </c>
      <c r="AM169">
        <f t="shared" si="218"/>
        <v>518.17250000000001</v>
      </c>
      <c r="BF169" s="20">
        <f t="shared" ref="BF169:BG169" si="235">H259</f>
        <v>1050</v>
      </c>
      <c r="BG169" s="20">
        <f t="shared" si="235"/>
        <v>136.91300000000001</v>
      </c>
      <c r="BH169" s="19">
        <f>VLOOKUP(BF169,'Hazard Weighting Functions'!$B$5:$G$1205,4,FALSE)</f>
        <v>0.2</v>
      </c>
      <c r="BI169" s="19">
        <f t="shared" si="220"/>
        <v>27.382600000000004</v>
      </c>
      <c r="BJ169" s="19">
        <f t="shared" si="221"/>
        <v>136.59899999999999</v>
      </c>
      <c r="BK169" s="1">
        <f t="shared" si="204"/>
        <v>850</v>
      </c>
      <c r="BL169" s="20">
        <f t="shared" si="205"/>
        <v>1209440</v>
      </c>
      <c r="BM169">
        <f>VLOOKUP(BK169,'Hazard Weighting Functions'!$B$5:$G$1205,4,FALSE)</f>
        <v>0.501</v>
      </c>
      <c r="BN169">
        <f t="shared" si="222"/>
        <v>605929.43999999994</v>
      </c>
      <c r="BO169" s="19">
        <f t="shared" si="176"/>
        <v>2997504.8</v>
      </c>
      <c r="BP169" s="20">
        <f t="shared" si="206"/>
        <v>730</v>
      </c>
      <c r="BQ169" s="20">
        <f t="shared" si="206"/>
        <v>1133536</v>
      </c>
      <c r="BR169" s="19">
        <f>VLOOKUP(BP169,'Hazard Weighting Functions'!$B$5:$G$1205,4,FALSE)</f>
        <v>0.871</v>
      </c>
      <c r="BS169" s="19">
        <f t="shared" si="223"/>
        <v>987309.85600000003</v>
      </c>
      <c r="BT169" s="19">
        <f t="shared" si="224"/>
        <v>4894901.1399999997</v>
      </c>
    </row>
    <row r="170" spans="2:72">
      <c r="B170">
        <v>605</v>
      </c>
      <c r="C170" s="36">
        <v>104.658</v>
      </c>
      <c r="E170">
        <v>605</v>
      </c>
      <c r="F170" s="36">
        <v>104.658</v>
      </c>
      <c r="H170" s="19">
        <v>605</v>
      </c>
      <c r="I170" s="36">
        <v>104.658</v>
      </c>
      <c r="K170">
        <v>1705</v>
      </c>
      <c r="L170" s="36">
        <f>702.559704*(1628/1602)</f>
        <v>713.96204626217229</v>
      </c>
      <c r="N170">
        <v>855</v>
      </c>
      <c r="O170" s="36">
        <v>1210352</v>
      </c>
      <c r="Q170" s="20">
        <v>735</v>
      </c>
      <c r="R170" s="37">
        <v>1140599.9999999998</v>
      </c>
      <c r="V170">
        <f t="shared" si="208"/>
        <v>605</v>
      </c>
      <c r="W170">
        <f t="shared" si="209"/>
        <v>104.658</v>
      </c>
      <c r="Y170">
        <f t="shared" si="210"/>
        <v>605</v>
      </c>
      <c r="Z170">
        <f t="shared" si="211"/>
        <v>104.658</v>
      </c>
      <c r="AA170">
        <f>VLOOKUP(Y170,'Hazard Weighting Functions'!$B$5:$G$1205,2,FALSE)</f>
        <v>0</v>
      </c>
      <c r="AB170">
        <f t="shared" si="212"/>
        <v>0</v>
      </c>
      <c r="AC170">
        <f t="shared" si="213"/>
        <v>0</v>
      </c>
      <c r="AE170">
        <f>VLOOKUP(Y170,'Hazard Weighting Functions'!$B$5:$G$1205,3,FALSE)</f>
        <v>1E-3</v>
      </c>
      <c r="AF170">
        <f t="shared" si="214"/>
        <v>0.104658</v>
      </c>
      <c r="AG170">
        <f t="shared" si="215"/>
        <v>0.52799250000000009</v>
      </c>
      <c r="AH170">
        <f>VLOOKUP(Y170,'Hazard Weighting Functions'!$B$5:$G$1205,5,FALSE)</f>
        <v>0.56679999999999997</v>
      </c>
      <c r="AI170">
        <f t="shared" si="216"/>
        <v>59.3201544</v>
      </c>
      <c r="AJ170">
        <f t="shared" si="217"/>
        <v>282.27317850000003</v>
      </c>
      <c r="AM170">
        <f t="shared" si="218"/>
        <v>527.99250000000006</v>
      </c>
      <c r="BF170" s="20">
        <f t="shared" ref="BF170:BG170" si="236">H260</f>
        <v>1055</v>
      </c>
      <c r="BG170" s="20">
        <f t="shared" si="236"/>
        <v>136.285</v>
      </c>
      <c r="BH170" s="19">
        <f>VLOOKUP(BF170,'Hazard Weighting Functions'!$B$5:$G$1205,4,FALSE)</f>
        <v>0.2</v>
      </c>
      <c r="BI170" s="19">
        <f t="shared" si="220"/>
        <v>27.257000000000001</v>
      </c>
      <c r="BJ170" s="19">
        <f t="shared" si="221"/>
        <v>135.9665</v>
      </c>
      <c r="BK170" s="1">
        <f t="shared" si="204"/>
        <v>855</v>
      </c>
      <c r="BL170" s="20">
        <f t="shared" si="205"/>
        <v>1210352</v>
      </c>
      <c r="BM170">
        <f>VLOOKUP(BK170,'Hazard Weighting Functions'!$B$5:$G$1205,4,FALSE)</f>
        <v>0.49</v>
      </c>
      <c r="BN170">
        <f t="shared" si="222"/>
        <v>593072.48</v>
      </c>
      <c r="BO170" s="19">
        <f t="shared" si="176"/>
        <v>2932892.0199999996</v>
      </c>
      <c r="BP170" s="20">
        <f t="shared" si="206"/>
        <v>735</v>
      </c>
      <c r="BQ170" s="20">
        <f t="shared" si="206"/>
        <v>1140599.9999999998</v>
      </c>
      <c r="BR170" s="19">
        <f>VLOOKUP(BP170,'Hazard Weighting Functions'!$B$5:$G$1205,4,FALSE)</f>
        <v>0.85099999999999998</v>
      </c>
      <c r="BS170" s="19">
        <f t="shared" si="223"/>
        <v>970650.59999999974</v>
      </c>
      <c r="BT170" s="19">
        <f t="shared" si="224"/>
        <v>4824234.1799999988</v>
      </c>
    </row>
    <row r="171" spans="2:72">
      <c r="B171">
        <v>610</v>
      </c>
      <c r="C171" s="36">
        <v>106.53900000000002</v>
      </c>
      <c r="E171">
        <v>610</v>
      </c>
      <c r="F171" s="36">
        <v>106.53900000000002</v>
      </c>
      <c r="H171" s="19">
        <v>610</v>
      </c>
      <c r="I171" s="36">
        <v>106.53900000000002</v>
      </c>
      <c r="K171">
        <v>1710</v>
      </c>
      <c r="L171" s="36">
        <f>697.401876*(1628/1602)</f>
        <v>708.72050819475658</v>
      </c>
      <c r="N171">
        <v>860</v>
      </c>
      <c r="O171" s="36">
        <v>1211031.9999999998</v>
      </c>
      <c r="Q171" s="20">
        <v>740</v>
      </c>
      <c r="R171" s="37">
        <v>1152695.9999999998</v>
      </c>
      <c r="V171">
        <f t="shared" si="208"/>
        <v>610</v>
      </c>
      <c r="W171">
        <f t="shared" si="209"/>
        <v>106.53900000000002</v>
      </c>
      <c r="Y171">
        <f t="shared" si="210"/>
        <v>610</v>
      </c>
      <c r="Z171">
        <f t="shared" si="211"/>
        <v>106.53900000000002</v>
      </c>
      <c r="AA171">
        <f>VLOOKUP(Y171,'Hazard Weighting Functions'!$B$5:$G$1205,2,FALSE)</f>
        <v>0</v>
      </c>
      <c r="AB171">
        <f t="shared" si="212"/>
        <v>0</v>
      </c>
      <c r="AC171">
        <f t="shared" si="213"/>
        <v>0</v>
      </c>
      <c r="AE171">
        <f>VLOOKUP(Y171,'Hazard Weighting Functions'!$B$5:$G$1205,3,FALSE)</f>
        <v>1E-3</v>
      </c>
      <c r="AF171">
        <f t="shared" si="214"/>
        <v>0.10653900000000002</v>
      </c>
      <c r="AG171">
        <f t="shared" si="215"/>
        <v>0.53780500000000009</v>
      </c>
      <c r="AH171">
        <f>VLOOKUP(Y171,'Hazard Weighting Functions'!$B$5:$G$1205,5,FALSE)</f>
        <v>0.503</v>
      </c>
      <c r="AI171">
        <f t="shared" si="216"/>
        <v>53.589117000000009</v>
      </c>
      <c r="AJ171">
        <f t="shared" si="217"/>
        <v>253.73984150000001</v>
      </c>
      <c r="AM171">
        <f t="shared" si="218"/>
        <v>537.80500000000006</v>
      </c>
      <c r="BF171" s="20">
        <f t="shared" ref="BF171:BG171" si="237">H261</f>
        <v>1060</v>
      </c>
      <c r="BG171" s="20">
        <f t="shared" si="237"/>
        <v>135.648</v>
      </c>
      <c r="BH171" s="19">
        <f>VLOOKUP(BF171,'Hazard Weighting Functions'!$B$5:$G$1205,4,FALSE)</f>
        <v>0.2</v>
      </c>
      <c r="BI171" s="19">
        <f t="shared" si="220"/>
        <v>27.1296</v>
      </c>
      <c r="BJ171" s="19">
        <f t="shared" si="221"/>
        <v>135.32550000000001</v>
      </c>
      <c r="BK171" s="1">
        <f t="shared" si="204"/>
        <v>860</v>
      </c>
      <c r="BL171" s="20">
        <f t="shared" si="205"/>
        <v>1211031.9999999998</v>
      </c>
      <c r="BM171">
        <f>VLOOKUP(BK171,'Hazard Weighting Functions'!$B$5:$G$1205,4,FALSE)</f>
        <v>0.47899999999999998</v>
      </c>
      <c r="BN171">
        <f t="shared" si="222"/>
        <v>580084.32799999986</v>
      </c>
      <c r="BO171" s="19">
        <f t="shared" si="176"/>
        <v>2865667.459999999</v>
      </c>
      <c r="BP171" s="20">
        <f t="shared" si="206"/>
        <v>740</v>
      </c>
      <c r="BQ171" s="20">
        <f t="shared" si="206"/>
        <v>1152695.9999999998</v>
      </c>
      <c r="BR171" s="19">
        <f>VLOOKUP(BP171,'Hazard Weighting Functions'!$B$5:$G$1205,4,FALSE)</f>
        <v>0.83199999999999996</v>
      </c>
      <c r="BS171" s="19">
        <f t="shared" si="223"/>
        <v>959043.07199999981</v>
      </c>
      <c r="BT171" s="19">
        <f t="shared" si="224"/>
        <v>4745909.3999999994</v>
      </c>
    </row>
    <row r="172" spans="2:72">
      <c r="B172">
        <v>615</v>
      </c>
      <c r="C172" s="36">
        <v>108.583</v>
      </c>
      <c r="E172">
        <v>615</v>
      </c>
      <c r="F172" s="36">
        <v>108.583</v>
      </c>
      <c r="H172" s="19">
        <v>615</v>
      </c>
      <c r="I172" s="36">
        <v>108.583</v>
      </c>
      <c r="K172">
        <v>1715</v>
      </c>
      <c r="L172" s="36">
        <f>692.279892*(1628/1602)</f>
        <v>703.51539586516856</v>
      </c>
      <c r="N172">
        <v>865</v>
      </c>
      <c r="O172" s="36">
        <v>1209791.9999999998</v>
      </c>
      <c r="Q172" s="20">
        <v>745</v>
      </c>
      <c r="R172" s="37">
        <v>1155376</v>
      </c>
      <c r="V172">
        <f t="shared" si="208"/>
        <v>615</v>
      </c>
      <c r="W172">
        <f t="shared" si="209"/>
        <v>108.583</v>
      </c>
      <c r="Y172">
        <f t="shared" si="210"/>
        <v>615</v>
      </c>
      <c r="Z172">
        <f t="shared" si="211"/>
        <v>108.583</v>
      </c>
      <c r="AA172">
        <f>VLOOKUP(Y172,'Hazard Weighting Functions'!$B$5:$G$1205,2,FALSE)</f>
        <v>0</v>
      </c>
      <c r="AB172">
        <f t="shared" si="212"/>
        <v>0</v>
      </c>
      <c r="AC172">
        <f t="shared" si="213"/>
        <v>0</v>
      </c>
      <c r="AE172">
        <f>VLOOKUP(Y172,'Hazard Weighting Functions'!$B$5:$G$1205,3,FALSE)</f>
        <v>1E-3</v>
      </c>
      <c r="AF172">
        <f t="shared" si="214"/>
        <v>0.108583</v>
      </c>
      <c r="AG172">
        <f t="shared" si="215"/>
        <v>0.54761750000000009</v>
      </c>
      <c r="AH172">
        <f>VLOOKUP(Y172,'Hazard Weighting Functions'!$B$5:$G$1205,5,FALSE)</f>
        <v>0.44119999999999998</v>
      </c>
      <c r="AI172">
        <f t="shared" si="216"/>
        <v>47.906819599999999</v>
      </c>
      <c r="AJ172">
        <f t="shared" si="217"/>
        <v>224.98400900000001</v>
      </c>
      <c r="AM172">
        <f t="shared" si="218"/>
        <v>547.61750000000006</v>
      </c>
      <c r="BF172" s="20">
        <f t="shared" ref="BF172:BG172" si="238">H262</f>
        <v>1065</v>
      </c>
      <c r="BG172" s="20">
        <f t="shared" si="238"/>
        <v>135.00299999999999</v>
      </c>
      <c r="BH172" s="19">
        <f>VLOOKUP(BF172,'Hazard Weighting Functions'!$B$5:$G$1205,4,FALSE)</f>
        <v>0.2</v>
      </c>
      <c r="BI172" s="19">
        <f t="shared" si="220"/>
        <v>27.000599999999999</v>
      </c>
      <c r="BJ172" s="19">
        <f t="shared" si="221"/>
        <v>134.67700000000002</v>
      </c>
      <c r="BK172" s="1">
        <f t="shared" si="204"/>
        <v>865</v>
      </c>
      <c r="BL172" s="20">
        <f t="shared" si="205"/>
        <v>1209791.9999999998</v>
      </c>
      <c r="BM172">
        <f>VLOOKUP(BK172,'Hazard Weighting Functions'!$B$5:$G$1205,4,FALSE)</f>
        <v>0.46800000000000003</v>
      </c>
      <c r="BN172">
        <f t="shared" si="222"/>
        <v>566182.65599999996</v>
      </c>
      <c r="BO172" s="19">
        <f t="shared" si="176"/>
        <v>2795962.2399999993</v>
      </c>
      <c r="BP172" s="20">
        <f t="shared" si="206"/>
        <v>745</v>
      </c>
      <c r="BQ172" s="20">
        <f t="shared" si="206"/>
        <v>1155376</v>
      </c>
      <c r="BR172" s="19">
        <f>VLOOKUP(BP172,'Hazard Weighting Functions'!$B$5:$G$1205,4,FALSE)</f>
        <v>0.81299999999999994</v>
      </c>
      <c r="BS172" s="19">
        <f t="shared" si="223"/>
        <v>939320.68799999997</v>
      </c>
      <c r="BT172" s="19">
        <f t="shared" si="224"/>
        <v>4651330.4799999995</v>
      </c>
    </row>
    <row r="173" spans="2:72">
      <c r="B173">
        <v>620</v>
      </c>
      <c r="C173" s="36">
        <v>110.46400000000001</v>
      </c>
      <c r="E173">
        <v>620</v>
      </c>
      <c r="F173" s="36">
        <v>110.46400000000001</v>
      </c>
      <c r="H173" s="19">
        <v>620</v>
      </c>
      <c r="I173" s="36">
        <v>110.46400000000001</v>
      </c>
      <c r="K173">
        <v>1720</v>
      </c>
      <c r="L173" s="36">
        <f>687.192516*(1628/1602)</f>
        <v>698.3454532134831</v>
      </c>
      <c r="N173">
        <v>870</v>
      </c>
      <c r="O173" s="36">
        <v>1208319.9999999998</v>
      </c>
      <c r="Q173" s="20">
        <v>750</v>
      </c>
      <c r="R173" s="37">
        <v>1160215.9999999998</v>
      </c>
      <c r="V173">
        <f t="shared" si="208"/>
        <v>620</v>
      </c>
      <c r="W173">
        <f t="shared" si="209"/>
        <v>110.46400000000001</v>
      </c>
      <c r="Y173">
        <f t="shared" si="210"/>
        <v>620</v>
      </c>
      <c r="Z173">
        <f t="shared" si="211"/>
        <v>110.46400000000001</v>
      </c>
      <c r="AA173">
        <f>VLOOKUP(Y173,'Hazard Weighting Functions'!$B$5:$G$1205,2,FALSE)</f>
        <v>0</v>
      </c>
      <c r="AB173">
        <f t="shared" si="212"/>
        <v>0</v>
      </c>
      <c r="AC173">
        <f t="shared" si="213"/>
        <v>0</v>
      </c>
      <c r="AE173">
        <f>VLOOKUP(Y173,'Hazard Weighting Functions'!$B$5:$G$1205,3,FALSE)</f>
        <v>1E-3</v>
      </c>
      <c r="AF173">
        <f t="shared" si="214"/>
        <v>0.11046400000000002</v>
      </c>
      <c r="AG173">
        <f t="shared" si="215"/>
        <v>0.55702250000000009</v>
      </c>
      <c r="AH173">
        <f>VLOOKUP(Y173,'Hazard Weighting Functions'!$B$5:$G$1205,5,FALSE)</f>
        <v>0.38100000000000001</v>
      </c>
      <c r="AI173">
        <f t="shared" si="216"/>
        <v>42.086784000000009</v>
      </c>
      <c r="AJ173">
        <f t="shared" si="217"/>
        <v>195.37382250000002</v>
      </c>
      <c r="AM173">
        <f t="shared" si="218"/>
        <v>557.02250000000004</v>
      </c>
      <c r="BF173" s="20">
        <f t="shared" ref="BF173:BG173" si="239">H263</f>
        <v>1070</v>
      </c>
      <c r="BG173" s="20">
        <f t="shared" si="239"/>
        <v>134.351</v>
      </c>
      <c r="BH173" s="19">
        <f>VLOOKUP(BF173,'Hazard Weighting Functions'!$B$5:$G$1205,4,FALSE)</f>
        <v>0.2</v>
      </c>
      <c r="BI173" s="19">
        <f t="shared" si="220"/>
        <v>26.870200000000001</v>
      </c>
      <c r="BJ173" s="19">
        <f t="shared" si="221"/>
        <v>134.02100000000002</v>
      </c>
      <c r="BK173" s="1">
        <f t="shared" si="204"/>
        <v>870</v>
      </c>
      <c r="BL173" s="20">
        <f t="shared" si="205"/>
        <v>1208319.9999999998</v>
      </c>
      <c r="BM173">
        <f>VLOOKUP(BK173,'Hazard Weighting Functions'!$B$5:$G$1205,4,FALSE)</f>
        <v>0.45700000000000002</v>
      </c>
      <c r="BN173">
        <f t="shared" si="222"/>
        <v>552202.23999999987</v>
      </c>
      <c r="BO173" s="19">
        <f t="shared" si="176"/>
        <v>2728898.9799999995</v>
      </c>
      <c r="BP173" s="20">
        <f t="shared" si="206"/>
        <v>750</v>
      </c>
      <c r="BQ173" s="20">
        <f t="shared" si="206"/>
        <v>1160215.9999999998</v>
      </c>
      <c r="BR173" s="19">
        <f>VLOOKUP(BP173,'Hazard Weighting Functions'!$B$5:$G$1205,4,FALSE)</f>
        <v>0.79400000000000004</v>
      </c>
      <c r="BS173" s="19">
        <f t="shared" si="223"/>
        <v>921211.50399999984</v>
      </c>
      <c r="BT173" s="19">
        <f t="shared" si="224"/>
        <v>4564711.7999999989</v>
      </c>
    </row>
    <row r="174" spans="2:72">
      <c r="B174">
        <v>625</v>
      </c>
      <c r="C174" s="36">
        <v>112.345</v>
      </c>
      <c r="E174">
        <v>625</v>
      </c>
      <c r="F174" s="36">
        <v>112.345</v>
      </c>
      <c r="H174" s="19">
        <v>625</v>
      </c>
      <c r="I174" s="36">
        <v>112.345</v>
      </c>
      <c r="K174">
        <v>1725</v>
      </c>
      <c r="L174" s="36">
        <f>682.14222*(1628/1602)</f>
        <v>693.21319235955059</v>
      </c>
      <c r="N174">
        <v>875</v>
      </c>
      <c r="O174" s="36">
        <v>1206616</v>
      </c>
      <c r="Q174" s="20">
        <v>755</v>
      </c>
      <c r="R174" s="37">
        <v>1165816</v>
      </c>
      <c r="V174">
        <f t="shared" si="208"/>
        <v>625</v>
      </c>
      <c r="W174">
        <f t="shared" si="209"/>
        <v>112.345</v>
      </c>
      <c r="Y174">
        <f t="shared" si="210"/>
        <v>625</v>
      </c>
      <c r="Z174">
        <f t="shared" si="211"/>
        <v>112.345</v>
      </c>
      <c r="AA174">
        <f>VLOOKUP(Y174,'Hazard Weighting Functions'!$B$5:$G$1205,2,FALSE)</f>
        <v>0</v>
      </c>
      <c r="AB174">
        <f t="shared" si="212"/>
        <v>0</v>
      </c>
      <c r="AC174">
        <f t="shared" si="213"/>
        <v>0</v>
      </c>
      <c r="AE174">
        <f>VLOOKUP(Y174,'Hazard Weighting Functions'!$B$5:$G$1205,3,FALSE)</f>
        <v>1E-3</v>
      </c>
      <c r="AF174">
        <f t="shared" si="214"/>
        <v>0.112345</v>
      </c>
      <c r="AG174">
        <f t="shared" si="215"/>
        <v>0.56640750000000006</v>
      </c>
      <c r="AH174">
        <f>VLOOKUP(Y174,'Hazard Weighting Functions'!$B$5:$G$1205,5,FALSE)</f>
        <v>0.32100000000000001</v>
      </c>
      <c r="AI174">
        <f t="shared" si="216"/>
        <v>36.062745</v>
      </c>
      <c r="AJ174">
        <f t="shared" si="217"/>
        <v>165.82628750000001</v>
      </c>
      <c r="AM174">
        <f t="shared" si="218"/>
        <v>566.40750000000003</v>
      </c>
      <c r="BF174" s="20">
        <f t="shared" ref="BF174:BG174" si="240">H264</f>
        <v>1075</v>
      </c>
      <c r="BG174" s="20">
        <f t="shared" si="240"/>
        <v>133.691</v>
      </c>
      <c r="BH174" s="19">
        <f>VLOOKUP(BF174,'Hazard Weighting Functions'!$B$5:$G$1205,4,FALSE)</f>
        <v>0.2</v>
      </c>
      <c r="BI174" s="19">
        <f t="shared" si="220"/>
        <v>26.738200000000003</v>
      </c>
      <c r="BJ174" s="19">
        <f t="shared" si="221"/>
        <v>133.35750000000002</v>
      </c>
      <c r="BK174" s="1">
        <f t="shared" si="204"/>
        <v>875</v>
      </c>
      <c r="BL174" s="20">
        <f t="shared" si="205"/>
        <v>1206616</v>
      </c>
      <c r="BM174">
        <f>VLOOKUP(BK174,'Hazard Weighting Functions'!$B$5:$G$1205,4,FALSE)</f>
        <v>0.44700000000000001</v>
      </c>
      <c r="BN174">
        <f t="shared" si="222"/>
        <v>539357.35199999996</v>
      </c>
      <c r="BO174" s="19">
        <f t="shared" si="176"/>
        <v>2664523.7599999993</v>
      </c>
      <c r="BP174" s="20">
        <f t="shared" si="206"/>
        <v>755</v>
      </c>
      <c r="BQ174" s="20">
        <f t="shared" si="206"/>
        <v>1165816</v>
      </c>
      <c r="BR174" s="19">
        <f>VLOOKUP(BP174,'Hazard Weighting Functions'!$B$5:$G$1205,4,FALSE)</f>
        <v>0.77600000000000002</v>
      </c>
      <c r="BS174" s="19">
        <f t="shared" si="223"/>
        <v>904673.21600000001</v>
      </c>
      <c r="BT174" s="19">
        <f t="shared" si="224"/>
        <v>4474744.88</v>
      </c>
    </row>
    <row r="175" spans="2:72">
      <c r="B175">
        <v>630</v>
      </c>
      <c r="C175" s="36">
        <v>114.218</v>
      </c>
      <c r="E175">
        <v>630</v>
      </c>
      <c r="F175" s="36">
        <v>114.218</v>
      </c>
      <c r="H175" s="19">
        <v>630</v>
      </c>
      <c r="I175" s="36">
        <v>114.218</v>
      </c>
      <c r="K175">
        <v>1730</v>
      </c>
      <c r="L175" s="36">
        <f>677.125296*(1628/1602)</f>
        <v>688.1148451235955</v>
      </c>
      <c r="N175">
        <v>880</v>
      </c>
      <c r="O175" s="36">
        <v>1204695.9999999998</v>
      </c>
      <c r="Q175" s="20">
        <v>760</v>
      </c>
      <c r="R175" s="37">
        <v>1166304</v>
      </c>
      <c r="V175">
        <f t="shared" si="208"/>
        <v>630</v>
      </c>
      <c r="W175">
        <f t="shared" si="209"/>
        <v>114.218</v>
      </c>
      <c r="Y175">
        <f t="shared" si="210"/>
        <v>630</v>
      </c>
      <c r="Z175">
        <f t="shared" si="211"/>
        <v>114.218</v>
      </c>
      <c r="AA175">
        <f>VLOOKUP(Y175,'Hazard Weighting Functions'!$B$5:$G$1205,2,FALSE)</f>
        <v>0</v>
      </c>
      <c r="AB175">
        <f t="shared" si="212"/>
        <v>0</v>
      </c>
      <c r="AC175">
        <f t="shared" si="213"/>
        <v>0</v>
      </c>
      <c r="AE175">
        <f>VLOOKUP(Y175,'Hazard Weighting Functions'!$B$5:$G$1205,3,FALSE)</f>
        <v>1E-3</v>
      </c>
      <c r="AF175">
        <f t="shared" si="214"/>
        <v>0.114218</v>
      </c>
      <c r="AG175">
        <f t="shared" si="215"/>
        <v>0.57546249999999999</v>
      </c>
      <c r="AH175">
        <f>VLOOKUP(Y175,'Hazard Weighting Functions'!$B$5:$G$1205,5,FALSE)</f>
        <v>0.26500000000000001</v>
      </c>
      <c r="AI175">
        <f t="shared" si="216"/>
        <v>30.267770000000002</v>
      </c>
      <c r="AJ175">
        <f t="shared" si="217"/>
        <v>138.58152250000001</v>
      </c>
      <c r="AM175">
        <f t="shared" si="218"/>
        <v>575.46249999999998</v>
      </c>
      <c r="BF175" s="20">
        <f t="shared" ref="BF175:BG175" si="241">H265</f>
        <v>1080</v>
      </c>
      <c r="BG175" s="20">
        <f t="shared" si="241"/>
        <v>133.024</v>
      </c>
      <c r="BH175" s="19">
        <f>VLOOKUP(BF175,'Hazard Weighting Functions'!$B$5:$G$1205,4,FALSE)</f>
        <v>0.2</v>
      </c>
      <c r="BI175" s="19">
        <f t="shared" si="220"/>
        <v>26.604800000000001</v>
      </c>
      <c r="BJ175" s="19">
        <f t="shared" si="221"/>
        <v>132.6875</v>
      </c>
      <c r="BK175" s="1">
        <f t="shared" si="204"/>
        <v>880</v>
      </c>
      <c r="BL175" s="20">
        <f t="shared" si="205"/>
        <v>1204695.9999999998</v>
      </c>
      <c r="BM175">
        <f>VLOOKUP(BK175,'Hazard Weighting Functions'!$B$5:$G$1205,4,FALSE)</f>
        <v>0.437</v>
      </c>
      <c r="BN175">
        <f t="shared" si="222"/>
        <v>526452.15199999989</v>
      </c>
      <c r="BO175" s="19">
        <f t="shared" si="176"/>
        <v>2601673.6599999997</v>
      </c>
      <c r="BP175" s="20">
        <f t="shared" si="206"/>
        <v>760</v>
      </c>
      <c r="BQ175" s="20">
        <f t="shared" si="206"/>
        <v>1166304</v>
      </c>
      <c r="BR175" s="19">
        <f>VLOOKUP(BP175,'Hazard Weighting Functions'!$B$5:$G$1205,4,FALSE)</f>
        <v>0.75900000000000001</v>
      </c>
      <c r="BS175" s="19">
        <f t="shared" si="223"/>
        <v>885224.73600000003</v>
      </c>
      <c r="BT175" s="19">
        <f t="shared" si="224"/>
        <v>4389541.8599999994</v>
      </c>
    </row>
    <row r="176" spans="2:72">
      <c r="B176">
        <v>635</v>
      </c>
      <c r="C176" s="36">
        <v>115.967</v>
      </c>
      <c r="E176">
        <v>635</v>
      </c>
      <c r="F176" s="36">
        <v>115.967</v>
      </c>
      <c r="H176" s="19">
        <v>635</v>
      </c>
      <c r="I176" s="36">
        <v>115.967</v>
      </c>
      <c r="K176">
        <v>1735</v>
      </c>
      <c r="L176" s="36">
        <f>672.145452*(1628/1602)</f>
        <v>683.05417968539325</v>
      </c>
      <c r="N176">
        <v>885</v>
      </c>
      <c r="O176" s="36">
        <v>1204256</v>
      </c>
      <c r="Q176" s="20">
        <v>765</v>
      </c>
      <c r="R176" s="37">
        <v>1174887.9999999998</v>
      </c>
      <c r="V176">
        <f t="shared" si="208"/>
        <v>635</v>
      </c>
      <c r="W176">
        <f t="shared" si="209"/>
        <v>115.967</v>
      </c>
      <c r="Y176">
        <f t="shared" si="210"/>
        <v>635</v>
      </c>
      <c r="Z176">
        <f t="shared" si="211"/>
        <v>115.967</v>
      </c>
      <c r="AA176">
        <f>VLOOKUP(Y176,'Hazard Weighting Functions'!$B$5:$G$1205,2,FALSE)</f>
        <v>0</v>
      </c>
      <c r="AB176">
        <f t="shared" si="212"/>
        <v>0</v>
      </c>
      <c r="AC176">
        <f t="shared" si="213"/>
        <v>0</v>
      </c>
      <c r="AE176">
        <f>VLOOKUP(Y176,'Hazard Weighting Functions'!$B$5:$G$1205,3,FALSE)</f>
        <v>1E-3</v>
      </c>
      <c r="AF176">
        <f t="shared" si="214"/>
        <v>0.115967</v>
      </c>
      <c r="AG176">
        <f t="shared" si="215"/>
        <v>0.58432000000000006</v>
      </c>
      <c r="AH176">
        <f>VLOOKUP(Y176,'Hazard Weighting Functions'!$B$5:$G$1205,5,FALSE)</f>
        <v>0.217</v>
      </c>
      <c r="AI176">
        <f t="shared" si="216"/>
        <v>25.164839000000001</v>
      </c>
      <c r="AJ176">
        <f t="shared" si="217"/>
        <v>114.432535</v>
      </c>
      <c r="AM176">
        <f t="shared" si="218"/>
        <v>584.32000000000005</v>
      </c>
      <c r="BF176" s="20">
        <f t="shared" ref="BF176:BG176" si="242">H266</f>
        <v>1085</v>
      </c>
      <c r="BG176" s="20">
        <f t="shared" si="242"/>
        <v>132.351</v>
      </c>
      <c r="BH176" s="19">
        <f>VLOOKUP(BF176,'Hazard Weighting Functions'!$B$5:$G$1205,4,FALSE)</f>
        <v>0.2</v>
      </c>
      <c r="BI176" s="19">
        <f t="shared" si="220"/>
        <v>26.470200000000002</v>
      </c>
      <c r="BJ176" s="19">
        <f t="shared" si="221"/>
        <v>132.011</v>
      </c>
      <c r="BK176" s="1">
        <f t="shared" si="204"/>
        <v>885</v>
      </c>
      <c r="BL176" s="20">
        <f t="shared" si="205"/>
        <v>1204256</v>
      </c>
      <c r="BM176">
        <f>VLOOKUP(BK176,'Hazard Weighting Functions'!$B$5:$G$1205,4,FALSE)</f>
        <v>0.42699999999999999</v>
      </c>
      <c r="BN176">
        <f t="shared" si="222"/>
        <v>514217.31199999998</v>
      </c>
      <c r="BO176" s="19">
        <f t="shared" si="176"/>
        <v>2540312.96</v>
      </c>
      <c r="BP176" s="20">
        <f t="shared" si="206"/>
        <v>765</v>
      </c>
      <c r="BQ176" s="20">
        <f t="shared" si="206"/>
        <v>1174887.9999999998</v>
      </c>
      <c r="BR176" s="19">
        <f>VLOOKUP(BP176,'Hazard Weighting Functions'!$B$5:$G$1205,4,FALSE)</f>
        <v>0.74099999999999999</v>
      </c>
      <c r="BS176" s="19">
        <f t="shared" si="223"/>
        <v>870592.0079999998</v>
      </c>
      <c r="BT176" s="19">
        <f t="shared" si="224"/>
        <v>4308645.5399999991</v>
      </c>
    </row>
    <row r="177" spans="2:72">
      <c r="B177">
        <v>640</v>
      </c>
      <c r="C177" s="36">
        <v>117.76100000000001</v>
      </c>
      <c r="E177">
        <v>640</v>
      </c>
      <c r="F177" s="36">
        <v>117.76100000000001</v>
      </c>
      <c r="H177" s="19">
        <v>640</v>
      </c>
      <c r="I177" s="36">
        <v>117.76100000000001</v>
      </c>
      <c r="K177">
        <v>1740</v>
      </c>
      <c r="L177" s="36">
        <f>667.200216*(1628/1602)</f>
        <v>678.02868392509356</v>
      </c>
      <c r="N177">
        <v>890</v>
      </c>
      <c r="O177" s="36">
        <v>1203616</v>
      </c>
      <c r="Q177" s="20">
        <v>770</v>
      </c>
      <c r="R177" s="37">
        <v>1177991.9999999998</v>
      </c>
      <c r="V177">
        <f t="shared" si="208"/>
        <v>640</v>
      </c>
      <c r="W177">
        <f t="shared" si="209"/>
        <v>117.76100000000001</v>
      </c>
      <c r="Y177">
        <f t="shared" si="210"/>
        <v>640</v>
      </c>
      <c r="Z177">
        <f t="shared" si="211"/>
        <v>117.76100000000001</v>
      </c>
      <c r="AA177">
        <f>VLOOKUP(Y177,'Hazard Weighting Functions'!$B$5:$G$1205,2,FALSE)</f>
        <v>0</v>
      </c>
      <c r="AB177">
        <f t="shared" si="212"/>
        <v>0</v>
      </c>
      <c r="AC177">
        <f t="shared" si="213"/>
        <v>0</v>
      </c>
      <c r="AE177">
        <f>VLOOKUP(Y177,'Hazard Weighting Functions'!$B$5:$G$1205,3,FALSE)</f>
        <v>1E-3</v>
      </c>
      <c r="AF177">
        <f t="shared" si="214"/>
        <v>0.11776100000000002</v>
      </c>
      <c r="AG177">
        <f t="shared" si="215"/>
        <v>0.59349500000000011</v>
      </c>
      <c r="AH177">
        <f>VLOOKUP(Y177,'Hazard Weighting Functions'!$B$5:$G$1205,5,FALSE)</f>
        <v>0.17499999999999999</v>
      </c>
      <c r="AI177">
        <f t="shared" si="216"/>
        <v>20.608174999999999</v>
      </c>
      <c r="AJ177">
        <f t="shared" si="217"/>
        <v>92.855020999999994</v>
      </c>
      <c r="AM177">
        <f t="shared" si="218"/>
        <v>593.49500000000012</v>
      </c>
      <c r="BF177" s="20">
        <f t="shared" ref="BF177:BG177" si="243">H267</f>
        <v>1090</v>
      </c>
      <c r="BG177" s="20">
        <f t="shared" si="243"/>
        <v>131.67099999999999</v>
      </c>
      <c r="BH177" s="19">
        <f>VLOOKUP(BF177,'Hazard Weighting Functions'!$B$5:$G$1205,4,FALSE)</f>
        <v>0.2</v>
      </c>
      <c r="BI177" s="19">
        <f t="shared" si="220"/>
        <v>26.334199999999999</v>
      </c>
      <c r="BJ177" s="19">
        <f t="shared" si="221"/>
        <v>131.32849999999999</v>
      </c>
      <c r="BK177" s="1">
        <f t="shared" si="204"/>
        <v>890</v>
      </c>
      <c r="BL177" s="20">
        <f t="shared" si="205"/>
        <v>1203616</v>
      </c>
      <c r="BM177">
        <f>VLOOKUP(BK177,'Hazard Weighting Functions'!$B$5:$G$1205,4,FALSE)</f>
        <v>0.41699999999999998</v>
      </c>
      <c r="BN177">
        <f t="shared" si="222"/>
        <v>501907.87199999997</v>
      </c>
      <c r="BO177" s="19">
        <f t="shared" si="176"/>
        <v>2478594.2599999998</v>
      </c>
      <c r="BP177" s="20">
        <f t="shared" si="206"/>
        <v>770</v>
      </c>
      <c r="BQ177" s="20">
        <f t="shared" si="206"/>
        <v>1177991.9999999998</v>
      </c>
      <c r="BR177" s="19">
        <f>VLOOKUP(BP177,'Hazard Weighting Functions'!$B$5:$G$1205,4,FALSE)</f>
        <v>0.72399999999999998</v>
      </c>
      <c r="BS177" s="19">
        <f t="shared" si="223"/>
        <v>852866.20799999975</v>
      </c>
      <c r="BT177" s="19">
        <f t="shared" si="224"/>
        <v>4215922.7999999989</v>
      </c>
    </row>
    <row r="178" spans="2:72">
      <c r="B178">
        <v>645</v>
      </c>
      <c r="C178" s="36">
        <v>119.637</v>
      </c>
      <c r="E178">
        <v>645</v>
      </c>
      <c r="F178" s="36">
        <v>119.637</v>
      </c>
      <c r="H178" s="19">
        <v>645</v>
      </c>
      <c r="I178" s="36">
        <v>119.637</v>
      </c>
      <c r="K178">
        <v>1745</v>
      </c>
      <c r="L178" s="36">
        <f>662.289588*(1628/1602)</f>
        <v>673.03835784269666</v>
      </c>
      <c r="N178">
        <v>895</v>
      </c>
      <c r="O178" s="36">
        <v>1202776</v>
      </c>
      <c r="Q178" s="20">
        <v>775</v>
      </c>
      <c r="R178" s="37">
        <v>1177263.9999999998</v>
      </c>
      <c r="V178">
        <f t="shared" si="208"/>
        <v>645</v>
      </c>
      <c r="W178">
        <f t="shared" si="209"/>
        <v>119.637</v>
      </c>
      <c r="Y178">
        <f t="shared" si="210"/>
        <v>645</v>
      </c>
      <c r="Z178">
        <f t="shared" si="211"/>
        <v>119.637</v>
      </c>
      <c r="AA178">
        <f>VLOOKUP(Y178,'Hazard Weighting Functions'!$B$5:$G$1205,2,FALSE)</f>
        <v>0</v>
      </c>
      <c r="AB178">
        <f t="shared" si="212"/>
        <v>0</v>
      </c>
      <c r="AC178">
        <f t="shared" si="213"/>
        <v>0</v>
      </c>
      <c r="AE178">
        <f>VLOOKUP(Y178,'Hazard Weighting Functions'!$B$5:$G$1205,3,FALSE)</f>
        <v>1E-3</v>
      </c>
      <c r="AF178">
        <f t="shared" si="214"/>
        <v>0.11963700000000001</v>
      </c>
      <c r="AG178">
        <f t="shared" si="215"/>
        <v>0.60260250000000004</v>
      </c>
      <c r="AH178">
        <f>VLOOKUP(Y178,'Hazard Weighting Functions'!$B$5:$G$1205,5,FALSE)</f>
        <v>0.13819999999999999</v>
      </c>
      <c r="AI178">
        <f t="shared" si="216"/>
        <v>16.533833399999999</v>
      </c>
      <c r="AJ178">
        <f t="shared" si="217"/>
        <v>73.810153499999998</v>
      </c>
      <c r="AM178">
        <f t="shared" si="218"/>
        <v>602.60249999999996</v>
      </c>
      <c r="BF178" s="20">
        <f t="shared" ref="BF178:BG178" si="244">H268</f>
        <v>1095</v>
      </c>
      <c r="BG178" s="20">
        <f t="shared" si="244"/>
        <v>130.98599999999999</v>
      </c>
      <c r="BH178" s="19">
        <f>VLOOKUP(BF178,'Hazard Weighting Functions'!$B$5:$G$1205,4,FALSE)</f>
        <v>0.2</v>
      </c>
      <c r="BI178" s="19">
        <f t="shared" si="220"/>
        <v>26.197199999999999</v>
      </c>
      <c r="BJ178" s="19">
        <f t="shared" si="221"/>
        <v>130.64049999999997</v>
      </c>
      <c r="BK178" s="1">
        <f t="shared" si="204"/>
        <v>895</v>
      </c>
      <c r="BL178" s="20">
        <f t="shared" si="205"/>
        <v>1202776</v>
      </c>
      <c r="BM178">
        <f>VLOOKUP(BK178,'Hazard Weighting Functions'!$B$5:$G$1205,4,FALSE)</f>
        <v>0.40699999999999997</v>
      </c>
      <c r="BN178">
        <f t="shared" si="222"/>
        <v>489529.83199999999</v>
      </c>
      <c r="BO178" s="19">
        <f t="shared" si="176"/>
        <v>2419559.86</v>
      </c>
      <c r="BP178" s="20">
        <f t="shared" si="206"/>
        <v>775</v>
      </c>
      <c r="BQ178" s="20">
        <f t="shared" si="206"/>
        <v>1177263.9999999998</v>
      </c>
      <c r="BR178" s="19">
        <f>VLOOKUP(BP178,'Hazard Weighting Functions'!$B$5:$G$1205,4,FALSE)</f>
        <v>0.70799999999999996</v>
      </c>
      <c r="BS178" s="19">
        <f t="shared" si="223"/>
        <v>833502.91199999978</v>
      </c>
      <c r="BT178" s="19">
        <f t="shared" si="224"/>
        <v>4123994.7199999997</v>
      </c>
    </row>
    <row r="179" spans="2:72">
      <c r="B179">
        <v>650</v>
      </c>
      <c r="C179" s="36">
        <v>121.404</v>
      </c>
      <c r="E179">
        <v>650</v>
      </c>
      <c r="F179" s="36">
        <v>121.404</v>
      </c>
      <c r="H179" s="19">
        <v>650</v>
      </c>
      <c r="I179" s="36">
        <v>121.404</v>
      </c>
      <c r="K179">
        <v>1750</v>
      </c>
      <c r="L179" s="36">
        <f>657.413568*(1628/1602)</f>
        <v>668.0832014382022</v>
      </c>
      <c r="N179">
        <v>900</v>
      </c>
      <c r="O179" s="36">
        <v>1201743.9999999998</v>
      </c>
      <c r="Q179" s="20">
        <v>780</v>
      </c>
      <c r="R179" s="37">
        <v>1179328</v>
      </c>
      <c r="V179">
        <f t="shared" si="208"/>
        <v>650</v>
      </c>
      <c r="W179">
        <f t="shared" si="209"/>
        <v>121.404</v>
      </c>
      <c r="Y179">
        <f t="shared" si="210"/>
        <v>650</v>
      </c>
      <c r="Z179">
        <f t="shared" si="211"/>
        <v>121.404</v>
      </c>
      <c r="AA179">
        <f>VLOOKUP(Y179,'Hazard Weighting Functions'!$B$5:$G$1205,2,FALSE)</f>
        <v>0</v>
      </c>
      <c r="AB179">
        <f t="shared" si="212"/>
        <v>0</v>
      </c>
      <c r="AC179">
        <f t="shared" si="213"/>
        <v>0</v>
      </c>
      <c r="AE179">
        <f>VLOOKUP(Y179,'Hazard Weighting Functions'!$B$5:$G$1205,3,FALSE)</f>
        <v>1E-3</v>
      </c>
      <c r="AF179">
        <f t="shared" si="214"/>
        <v>0.121404</v>
      </c>
      <c r="AG179">
        <f t="shared" si="215"/>
        <v>0.61123749999999999</v>
      </c>
      <c r="AH179">
        <f>VLOOKUP(Y179,'Hazard Weighting Functions'!$B$5:$G$1205,5,FALSE)</f>
        <v>0.107</v>
      </c>
      <c r="AI179">
        <f t="shared" si="216"/>
        <v>12.990228</v>
      </c>
      <c r="AJ179">
        <f t="shared" si="217"/>
        <v>57.586134000000001</v>
      </c>
      <c r="AM179">
        <f t="shared" si="218"/>
        <v>611.23749999999995</v>
      </c>
      <c r="BF179" s="20">
        <f t="shared" ref="BF179:BG179" si="245">H269</f>
        <v>1100</v>
      </c>
      <c r="BG179" s="20">
        <f t="shared" si="245"/>
        <v>130.29499999999999</v>
      </c>
      <c r="BH179" s="19">
        <f>VLOOKUP(BF179,'Hazard Weighting Functions'!$B$5:$G$1205,4,FALSE)</f>
        <v>0.2</v>
      </c>
      <c r="BI179" s="19">
        <f t="shared" si="220"/>
        <v>26.058999999999997</v>
      </c>
      <c r="BK179" s="1">
        <f t="shared" si="204"/>
        <v>900</v>
      </c>
      <c r="BL179" s="20">
        <f t="shared" si="205"/>
        <v>1201743.9999999998</v>
      </c>
      <c r="BM179">
        <f>VLOOKUP(BK179,'Hazard Weighting Functions'!$B$5:$G$1205,4,FALSE)</f>
        <v>0.39800000000000002</v>
      </c>
      <c r="BN179">
        <f t="shared" si="222"/>
        <v>478294.11199999991</v>
      </c>
      <c r="BO179" s="19">
        <f t="shared" si="176"/>
        <v>2363240.98</v>
      </c>
      <c r="BP179" s="20">
        <f t="shared" si="206"/>
        <v>780</v>
      </c>
      <c r="BQ179" s="20">
        <f t="shared" si="206"/>
        <v>1179328</v>
      </c>
      <c r="BR179" s="19">
        <f>VLOOKUP(BP179,'Hazard Weighting Functions'!$B$5:$G$1205,4,FALSE)</f>
        <v>0.69199999999999995</v>
      </c>
      <c r="BS179" s="19">
        <f t="shared" si="223"/>
        <v>816094.97599999991</v>
      </c>
      <c r="BT179" s="19">
        <f t="shared" si="224"/>
        <v>4042373.6799999997</v>
      </c>
    </row>
    <row r="180" spans="2:72">
      <c r="B180">
        <v>655</v>
      </c>
      <c r="C180" s="36">
        <v>123.09099999999999</v>
      </c>
      <c r="E180">
        <v>655</v>
      </c>
      <c r="F180" s="36">
        <v>123.09099999999999</v>
      </c>
      <c r="H180" s="19">
        <v>655</v>
      </c>
      <c r="I180" s="36">
        <v>123.09099999999999</v>
      </c>
      <c r="K180">
        <v>1755</v>
      </c>
      <c r="L180" s="36">
        <f>652.573392*(1628/1602)</f>
        <v>663.16447077153555</v>
      </c>
      <c r="N180">
        <v>905</v>
      </c>
      <c r="O180" s="36">
        <v>1200520</v>
      </c>
      <c r="Q180" s="20">
        <v>785</v>
      </c>
      <c r="R180" s="37">
        <v>1184695.9999999998</v>
      </c>
      <c r="V180">
        <f t="shared" si="208"/>
        <v>655</v>
      </c>
      <c r="W180">
        <f t="shared" si="209"/>
        <v>123.09099999999999</v>
      </c>
      <c r="Y180">
        <f t="shared" si="210"/>
        <v>655</v>
      </c>
      <c r="Z180">
        <f t="shared" si="211"/>
        <v>123.09099999999999</v>
      </c>
      <c r="AA180">
        <f>VLOOKUP(Y180,'Hazard Weighting Functions'!$B$5:$G$1205,2,FALSE)</f>
        <v>0</v>
      </c>
      <c r="AB180">
        <f t="shared" si="212"/>
        <v>0</v>
      </c>
      <c r="AC180">
        <f t="shared" si="213"/>
        <v>0</v>
      </c>
      <c r="AE180">
        <f>VLOOKUP(Y180,'Hazard Weighting Functions'!$B$5:$G$1205,3,FALSE)</f>
        <v>1E-3</v>
      </c>
      <c r="AF180">
        <f t="shared" si="214"/>
        <v>0.12309099999999999</v>
      </c>
      <c r="AG180">
        <f t="shared" si="215"/>
        <v>0.61928249999999996</v>
      </c>
      <c r="AH180">
        <f>VLOOKUP(Y180,'Hazard Weighting Functions'!$B$5:$G$1205,5,FALSE)</f>
        <v>8.1600000000000006E-2</v>
      </c>
      <c r="AI180">
        <f t="shared" si="216"/>
        <v>10.044225600000001</v>
      </c>
      <c r="AJ180">
        <f t="shared" si="217"/>
        <v>44.115419000000003</v>
      </c>
      <c r="AM180">
        <f t="shared" si="218"/>
        <v>619.28250000000003</v>
      </c>
      <c r="BF180" s="1"/>
      <c r="BG180" s="1"/>
      <c r="BK180" s="1">
        <f t="shared" si="204"/>
        <v>905</v>
      </c>
      <c r="BL180" s="20">
        <f t="shared" si="205"/>
        <v>1200520</v>
      </c>
      <c r="BM180">
        <f>VLOOKUP(BK180,'Hazard Weighting Functions'!$B$5:$G$1205,4,FALSE)</f>
        <v>0.38900000000000001</v>
      </c>
      <c r="BN180">
        <f t="shared" si="222"/>
        <v>467002.28</v>
      </c>
      <c r="BO180" s="19">
        <f t="shared" si="176"/>
        <v>2306654.5</v>
      </c>
      <c r="BP180" s="20">
        <f t="shared" si="206"/>
        <v>785</v>
      </c>
      <c r="BQ180" s="20">
        <f t="shared" si="206"/>
        <v>1184695.9999999998</v>
      </c>
      <c r="BR180" s="19">
        <f>VLOOKUP(BP180,'Hazard Weighting Functions'!$B$5:$G$1205,4,FALSE)</f>
        <v>0.67600000000000005</v>
      </c>
      <c r="BS180" s="19">
        <f t="shared" si="223"/>
        <v>800854.49599999993</v>
      </c>
      <c r="BT180" s="19">
        <f t="shared" si="224"/>
        <v>3966059.7799999993</v>
      </c>
    </row>
    <row r="181" spans="2:72">
      <c r="B181">
        <v>660</v>
      </c>
      <c r="C181" s="36">
        <v>124.622</v>
      </c>
      <c r="E181">
        <v>660</v>
      </c>
      <c r="F181" s="36">
        <v>124.622</v>
      </c>
      <c r="H181" s="19">
        <v>660</v>
      </c>
      <c r="I181" s="36">
        <v>124.622</v>
      </c>
      <c r="K181">
        <v>1760</v>
      </c>
      <c r="L181" s="36">
        <f>647.766588*(1628/1602)</f>
        <v>658.27965372284643</v>
      </c>
      <c r="N181">
        <v>910</v>
      </c>
      <c r="O181" s="36">
        <v>1199104</v>
      </c>
      <c r="Q181" s="20">
        <v>790</v>
      </c>
      <c r="R181" s="37">
        <v>1188455.9999999998</v>
      </c>
      <c r="V181">
        <f t="shared" si="208"/>
        <v>660</v>
      </c>
      <c r="W181">
        <f t="shared" si="209"/>
        <v>124.622</v>
      </c>
      <c r="Y181">
        <f t="shared" si="210"/>
        <v>660</v>
      </c>
      <c r="Z181">
        <f t="shared" si="211"/>
        <v>124.622</v>
      </c>
      <c r="AA181">
        <f>VLOOKUP(Y181,'Hazard Weighting Functions'!$B$5:$G$1205,2,FALSE)</f>
        <v>0</v>
      </c>
      <c r="AB181">
        <f t="shared" si="212"/>
        <v>0</v>
      </c>
      <c r="AC181">
        <f t="shared" si="213"/>
        <v>0</v>
      </c>
      <c r="AE181">
        <f>VLOOKUP(Y181,'Hazard Weighting Functions'!$B$5:$G$1205,3,FALSE)</f>
        <v>1E-3</v>
      </c>
      <c r="AF181">
        <f t="shared" si="214"/>
        <v>0.124622</v>
      </c>
      <c r="AG181">
        <f t="shared" si="215"/>
        <v>0.62720750000000003</v>
      </c>
      <c r="AH181">
        <f>VLOOKUP(Y181,'Hazard Weighting Functions'!$B$5:$G$1205,5,FALSE)</f>
        <v>6.0999999999999999E-2</v>
      </c>
      <c r="AI181">
        <f t="shared" si="216"/>
        <v>7.6019420000000002</v>
      </c>
      <c r="AJ181">
        <f t="shared" si="217"/>
        <v>33.076643449999999</v>
      </c>
      <c r="AM181">
        <f t="shared" si="218"/>
        <v>627.20749999999998</v>
      </c>
      <c r="BF181" s="1"/>
      <c r="BG181" s="1"/>
      <c r="BK181" s="1">
        <f t="shared" si="204"/>
        <v>910</v>
      </c>
      <c r="BL181" s="20">
        <f t="shared" si="205"/>
        <v>1199104</v>
      </c>
      <c r="BM181">
        <f>VLOOKUP(BK181,'Hazard Weighting Functions'!$B$5:$G$1205,4,FALSE)</f>
        <v>0.38</v>
      </c>
      <c r="BN181">
        <f t="shared" si="222"/>
        <v>455659.52000000002</v>
      </c>
      <c r="BO181" s="19">
        <f t="shared" si="176"/>
        <v>2252834.96</v>
      </c>
      <c r="BP181" s="20">
        <f t="shared" si="206"/>
        <v>790</v>
      </c>
      <c r="BQ181" s="20">
        <f t="shared" si="206"/>
        <v>1188455.9999999998</v>
      </c>
      <c r="BR181" s="19">
        <f>VLOOKUP(BP181,'Hazard Weighting Functions'!$B$5:$G$1205,4,FALSE)</f>
        <v>0.66100000000000003</v>
      </c>
      <c r="BS181" s="19">
        <f t="shared" si="223"/>
        <v>785569.41599999985</v>
      </c>
      <c r="BT181" s="19">
        <f t="shared" si="224"/>
        <v>3892621.1399999997</v>
      </c>
    </row>
    <row r="182" spans="2:72">
      <c r="B182">
        <v>665</v>
      </c>
      <c r="C182" s="36">
        <v>126.26100000000001</v>
      </c>
      <c r="E182">
        <v>665</v>
      </c>
      <c r="F182" s="36">
        <v>126.26100000000001</v>
      </c>
      <c r="H182" s="19">
        <v>665</v>
      </c>
      <c r="I182" s="36">
        <v>126.26100000000001</v>
      </c>
      <c r="K182">
        <v>1765</v>
      </c>
      <c r="L182" s="36">
        <f>642.994392*(1628/1602)</f>
        <v>653.43000635205988</v>
      </c>
      <c r="N182">
        <v>915</v>
      </c>
      <c r="O182" s="36">
        <v>1197511.9999999998</v>
      </c>
      <c r="Q182" s="20">
        <v>795</v>
      </c>
      <c r="R182" s="37">
        <v>1194240</v>
      </c>
      <c r="V182">
        <f t="shared" si="208"/>
        <v>665</v>
      </c>
      <c r="W182">
        <f t="shared" si="209"/>
        <v>126.26100000000001</v>
      </c>
      <c r="Y182">
        <f t="shared" si="210"/>
        <v>665</v>
      </c>
      <c r="Z182">
        <f t="shared" si="211"/>
        <v>126.26100000000001</v>
      </c>
      <c r="AA182">
        <f>VLOOKUP(Y182,'Hazard Weighting Functions'!$B$5:$G$1205,2,FALSE)</f>
        <v>0</v>
      </c>
      <c r="AB182">
        <f t="shared" si="212"/>
        <v>0</v>
      </c>
      <c r="AC182">
        <f t="shared" si="213"/>
        <v>0</v>
      </c>
      <c r="AE182">
        <f>VLOOKUP(Y182,'Hazard Weighting Functions'!$B$5:$G$1205,3,FALSE)</f>
        <v>1E-3</v>
      </c>
      <c r="AF182">
        <f t="shared" si="214"/>
        <v>0.12626100000000001</v>
      </c>
      <c r="AG182">
        <f t="shared" si="215"/>
        <v>0.63535499999999989</v>
      </c>
      <c r="AH182">
        <f>VLOOKUP(Y182,'Hazard Weighting Functions'!$B$5:$G$1205,5,FALSE)</f>
        <v>4.4580000000000002E-2</v>
      </c>
      <c r="AI182">
        <f t="shared" si="216"/>
        <v>5.6287153800000009</v>
      </c>
      <c r="AJ182">
        <f t="shared" si="217"/>
        <v>24.30226845</v>
      </c>
      <c r="AM182">
        <f t="shared" si="218"/>
        <v>635.35500000000002</v>
      </c>
      <c r="BF182" s="1"/>
      <c r="BG182" s="1"/>
      <c r="BK182" s="1">
        <f t="shared" si="204"/>
        <v>915</v>
      </c>
      <c r="BL182" s="20">
        <f t="shared" si="205"/>
        <v>1197511.9999999998</v>
      </c>
      <c r="BM182">
        <f>VLOOKUP(BK182,'Hazard Weighting Functions'!$B$5:$G$1205,4,FALSE)</f>
        <v>0.372</v>
      </c>
      <c r="BN182">
        <f t="shared" si="222"/>
        <v>445474.46399999992</v>
      </c>
      <c r="BO182" s="19">
        <f t="shared" si="176"/>
        <v>2198823.84</v>
      </c>
      <c r="BP182" s="20">
        <f t="shared" si="206"/>
        <v>795</v>
      </c>
      <c r="BQ182" s="20">
        <f t="shared" si="206"/>
        <v>1194240</v>
      </c>
      <c r="BR182" s="19">
        <f>VLOOKUP(BP182,'Hazard Weighting Functions'!$B$5:$G$1205,4,FALSE)</f>
        <v>0.64600000000000002</v>
      </c>
      <c r="BS182" s="19">
        <f t="shared" si="223"/>
        <v>771479.04000000004</v>
      </c>
      <c r="BT182" s="19">
        <f t="shared" si="224"/>
        <v>3811626.84</v>
      </c>
    </row>
    <row r="183" spans="2:72">
      <c r="B183">
        <v>670</v>
      </c>
      <c r="C183" s="36">
        <v>127.881</v>
      </c>
      <c r="E183">
        <v>670</v>
      </c>
      <c r="F183" s="36">
        <v>127.881</v>
      </c>
      <c r="H183" s="19">
        <v>670</v>
      </c>
      <c r="I183" s="36">
        <v>127.881</v>
      </c>
      <c r="K183">
        <v>1770</v>
      </c>
      <c r="L183" s="36">
        <f>638.255568*(1628/1602)</f>
        <v>648.61427259925097</v>
      </c>
      <c r="N183">
        <v>920</v>
      </c>
      <c r="O183" s="36">
        <v>1195743.9999999998</v>
      </c>
      <c r="Q183" s="20">
        <v>800</v>
      </c>
      <c r="R183" s="37">
        <v>1193616</v>
      </c>
      <c r="V183">
        <f t="shared" si="208"/>
        <v>670</v>
      </c>
      <c r="W183">
        <f t="shared" si="209"/>
        <v>127.881</v>
      </c>
      <c r="Y183">
        <f t="shared" si="210"/>
        <v>670</v>
      </c>
      <c r="Z183">
        <f t="shared" si="211"/>
        <v>127.881</v>
      </c>
      <c r="AA183">
        <f>VLOOKUP(Y183,'Hazard Weighting Functions'!$B$5:$G$1205,2,FALSE)</f>
        <v>0</v>
      </c>
      <c r="AB183">
        <f t="shared" si="212"/>
        <v>0</v>
      </c>
      <c r="AC183">
        <f t="shared" si="213"/>
        <v>0</v>
      </c>
      <c r="AE183">
        <f>VLOOKUP(Y183,'Hazard Weighting Functions'!$B$5:$G$1205,3,FALSE)</f>
        <v>1E-3</v>
      </c>
      <c r="AF183">
        <f t="shared" si="214"/>
        <v>0.12788099999999999</v>
      </c>
      <c r="AG183">
        <f t="shared" si="215"/>
        <v>0.64335500000000001</v>
      </c>
      <c r="AH183">
        <f>VLOOKUP(Y183,'Hazard Weighting Functions'!$B$5:$G$1205,5,FALSE)</f>
        <v>3.2000000000000001E-2</v>
      </c>
      <c r="AI183">
        <f t="shared" si="216"/>
        <v>4.0921919999999998</v>
      </c>
      <c r="AJ183">
        <f t="shared" si="217"/>
        <v>17.739218000000001</v>
      </c>
      <c r="AM183">
        <f t="shared" si="218"/>
        <v>643.35500000000002</v>
      </c>
      <c r="BF183" s="1"/>
      <c r="BG183" s="1"/>
      <c r="BK183" s="1">
        <f t="shared" si="204"/>
        <v>920</v>
      </c>
      <c r="BL183" s="20">
        <f t="shared" si="205"/>
        <v>1195743.9999999998</v>
      </c>
      <c r="BM183">
        <f>VLOOKUP(BK183,'Hazard Weighting Functions'!$B$5:$G$1205,4,FALSE)</f>
        <v>0.36299999999999999</v>
      </c>
      <c r="BN183">
        <f t="shared" si="222"/>
        <v>434055.07199999993</v>
      </c>
      <c r="BO183" s="19">
        <f t="shared" si="176"/>
        <v>2143520.48</v>
      </c>
      <c r="BP183" s="20">
        <f t="shared" si="206"/>
        <v>800</v>
      </c>
      <c r="BQ183" s="20">
        <f t="shared" si="206"/>
        <v>1193616</v>
      </c>
      <c r="BR183" s="19">
        <f>VLOOKUP(BP183,'Hazard Weighting Functions'!$B$5:$G$1205,4,FALSE)</f>
        <v>0.63100000000000001</v>
      </c>
      <c r="BS183" s="19">
        <f t="shared" si="223"/>
        <v>753171.696</v>
      </c>
      <c r="BT183" s="19">
        <f t="shared" si="224"/>
        <v>3727401.3800000004</v>
      </c>
    </row>
    <row r="184" spans="2:72">
      <c r="B184">
        <v>675</v>
      </c>
      <c r="C184" s="36">
        <v>129.46100000000001</v>
      </c>
      <c r="E184">
        <v>675</v>
      </c>
      <c r="F184" s="36">
        <v>129.46100000000001</v>
      </c>
      <c r="H184" s="19">
        <v>675</v>
      </c>
      <c r="I184" s="36">
        <v>129.46100000000001</v>
      </c>
      <c r="K184">
        <v>1775</v>
      </c>
      <c r="L184" s="36">
        <f>633.552588*(1628/1602)</f>
        <v>643.83496458426964</v>
      </c>
      <c r="N184">
        <v>925</v>
      </c>
      <c r="O184" s="36">
        <v>1192544</v>
      </c>
      <c r="Q184" s="20">
        <v>805</v>
      </c>
      <c r="R184" s="37">
        <v>1195768</v>
      </c>
      <c r="V184">
        <f t="shared" si="208"/>
        <v>675</v>
      </c>
      <c r="W184">
        <f t="shared" si="209"/>
        <v>129.46100000000001</v>
      </c>
      <c r="Y184">
        <f t="shared" si="210"/>
        <v>675</v>
      </c>
      <c r="Z184">
        <f t="shared" si="211"/>
        <v>129.46100000000001</v>
      </c>
      <c r="AA184">
        <f>VLOOKUP(Y184,'Hazard Weighting Functions'!$B$5:$G$1205,2,FALSE)</f>
        <v>0</v>
      </c>
      <c r="AB184">
        <f t="shared" si="212"/>
        <v>0</v>
      </c>
      <c r="AC184">
        <f t="shared" si="213"/>
        <v>0</v>
      </c>
      <c r="AE184">
        <f>VLOOKUP(Y184,'Hazard Weighting Functions'!$B$5:$G$1205,3,FALSE)</f>
        <v>1E-3</v>
      </c>
      <c r="AF184">
        <f t="shared" si="214"/>
        <v>0.12946100000000002</v>
      </c>
      <c r="AG184">
        <f t="shared" si="215"/>
        <v>0.65064750000000005</v>
      </c>
      <c r="AH184">
        <f>VLOOKUP(Y184,'Hazard Weighting Functions'!$B$5:$G$1205,5,FALSE)</f>
        <v>2.3199999999999998E-2</v>
      </c>
      <c r="AI184">
        <f t="shared" si="216"/>
        <v>3.0034952000000001</v>
      </c>
      <c r="AJ184">
        <f t="shared" si="217"/>
        <v>13.067653000000002</v>
      </c>
      <c r="AM184">
        <f t="shared" si="218"/>
        <v>650.64750000000004</v>
      </c>
      <c r="BF184" s="1"/>
      <c r="BG184" s="1"/>
      <c r="BK184" s="1">
        <f t="shared" si="204"/>
        <v>925</v>
      </c>
      <c r="BL184" s="20">
        <f t="shared" si="205"/>
        <v>1192544</v>
      </c>
      <c r="BM184">
        <f>VLOOKUP(BK184,'Hazard Weighting Functions'!$B$5:$G$1205,4,FALSE)</f>
        <v>0.35499999999999998</v>
      </c>
      <c r="BN184">
        <f t="shared" si="222"/>
        <v>423353.12</v>
      </c>
      <c r="BO184" s="19">
        <f t="shared" si="176"/>
        <v>2089992.9799999995</v>
      </c>
      <c r="BP184" s="20">
        <f t="shared" si="206"/>
        <v>805</v>
      </c>
      <c r="BQ184" s="20">
        <f t="shared" si="206"/>
        <v>1195768</v>
      </c>
      <c r="BR184" s="19">
        <f>VLOOKUP(BP184,'Hazard Weighting Functions'!$B$5:$G$1205,4,FALSE)</f>
        <v>0.61699999999999999</v>
      </c>
      <c r="BS184" s="19">
        <f t="shared" si="223"/>
        <v>737788.85600000003</v>
      </c>
      <c r="BT184" s="19">
        <f t="shared" si="224"/>
        <v>3649902.38</v>
      </c>
    </row>
    <row r="185" spans="2:72">
      <c r="B185">
        <v>680</v>
      </c>
      <c r="C185" s="36">
        <v>130.798</v>
      </c>
      <c r="E185">
        <v>680</v>
      </c>
      <c r="F185" s="36">
        <v>130.798</v>
      </c>
      <c r="H185" s="19">
        <v>680</v>
      </c>
      <c r="I185" s="36">
        <v>130.798</v>
      </c>
      <c r="K185">
        <v>1780</v>
      </c>
      <c r="L185" s="36">
        <f>628.881744*(1628/1602)</f>
        <v>639.08831412734082</v>
      </c>
      <c r="N185">
        <v>930</v>
      </c>
      <c r="O185" s="36">
        <v>1189175.9999999998</v>
      </c>
      <c r="Q185" s="20">
        <v>810</v>
      </c>
      <c r="R185" s="37">
        <v>1197632</v>
      </c>
      <c r="V185">
        <f t="shared" si="208"/>
        <v>680</v>
      </c>
      <c r="W185">
        <f t="shared" si="209"/>
        <v>130.798</v>
      </c>
      <c r="Y185">
        <f t="shared" si="210"/>
        <v>680</v>
      </c>
      <c r="Z185">
        <f t="shared" si="211"/>
        <v>130.798</v>
      </c>
      <c r="AA185">
        <f>VLOOKUP(Y185,'Hazard Weighting Functions'!$B$5:$G$1205,2,FALSE)</f>
        <v>0</v>
      </c>
      <c r="AB185">
        <f t="shared" si="212"/>
        <v>0</v>
      </c>
      <c r="AC185">
        <f t="shared" si="213"/>
        <v>0</v>
      </c>
      <c r="AE185">
        <f>VLOOKUP(Y185,'Hazard Weighting Functions'!$B$5:$G$1205,3,FALSE)</f>
        <v>1E-3</v>
      </c>
      <c r="AF185">
        <f t="shared" si="214"/>
        <v>0.130798</v>
      </c>
      <c r="AG185">
        <f t="shared" si="215"/>
        <v>0.6571975000000001</v>
      </c>
      <c r="AH185">
        <f>VLOOKUP(Y185,'Hazard Weighting Functions'!$B$5:$G$1205,5,FALSE)</f>
        <v>1.7000000000000001E-2</v>
      </c>
      <c r="AI185">
        <f t="shared" si="216"/>
        <v>2.2235660000000004</v>
      </c>
      <c r="AJ185">
        <f t="shared" si="217"/>
        <v>9.4949288000000021</v>
      </c>
      <c r="AM185">
        <f t="shared" si="218"/>
        <v>657.19749999999999</v>
      </c>
      <c r="BF185" s="1"/>
      <c r="BG185" s="1"/>
      <c r="BK185" s="1">
        <f t="shared" si="204"/>
        <v>930</v>
      </c>
      <c r="BL185" s="20">
        <f t="shared" si="205"/>
        <v>1189175.9999999998</v>
      </c>
      <c r="BM185">
        <f>VLOOKUP(BK185,'Hazard Weighting Functions'!$B$5:$G$1205,4,FALSE)</f>
        <v>0.34699999999999998</v>
      </c>
      <c r="BN185">
        <f t="shared" si="222"/>
        <v>412644.07199999987</v>
      </c>
      <c r="BO185" s="19">
        <f t="shared" si="176"/>
        <v>2036446.8599999996</v>
      </c>
      <c r="BP185" s="20">
        <f t="shared" si="206"/>
        <v>810</v>
      </c>
      <c r="BQ185" s="20">
        <f t="shared" si="206"/>
        <v>1197632</v>
      </c>
      <c r="BR185" s="19">
        <f>VLOOKUP(BP185,'Hazard Weighting Functions'!$B$5:$G$1205,4,FALSE)</f>
        <v>0.60299999999999998</v>
      </c>
      <c r="BS185" s="19">
        <f t="shared" si="223"/>
        <v>722172.09600000002</v>
      </c>
      <c r="BT185" s="19">
        <f t="shared" si="224"/>
        <v>3571252.2399999998</v>
      </c>
    </row>
    <row r="186" spans="2:72">
      <c r="B186">
        <v>685</v>
      </c>
      <c r="C186" s="36">
        <v>132.08100000000002</v>
      </c>
      <c r="E186">
        <v>685</v>
      </c>
      <c r="F186" s="36">
        <v>132.08100000000002</v>
      </c>
      <c r="H186" s="19">
        <v>685</v>
      </c>
      <c r="I186" s="36">
        <v>132.08100000000002</v>
      </c>
      <c r="K186">
        <v>1785</v>
      </c>
      <c r="L186" s="36">
        <f>624.245508*(1628/1602)</f>
        <v>634.37683334831456</v>
      </c>
      <c r="N186">
        <v>935</v>
      </c>
      <c r="O186" s="36">
        <v>1185647.9999999998</v>
      </c>
      <c r="Q186" s="20">
        <v>815</v>
      </c>
      <c r="R186" s="37">
        <v>1199200</v>
      </c>
      <c r="V186">
        <f t="shared" si="208"/>
        <v>685</v>
      </c>
      <c r="W186">
        <f t="shared" si="209"/>
        <v>132.08100000000002</v>
      </c>
      <c r="Y186">
        <f t="shared" si="210"/>
        <v>685</v>
      </c>
      <c r="Z186">
        <f t="shared" si="211"/>
        <v>132.08100000000002</v>
      </c>
      <c r="AA186">
        <f>VLOOKUP(Y186,'Hazard Weighting Functions'!$B$5:$G$1205,2,FALSE)</f>
        <v>0</v>
      </c>
      <c r="AB186">
        <f t="shared" si="212"/>
        <v>0</v>
      </c>
      <c r="AC186">
        <f t="shared" si="213"/>
        <v>0</v>
      </c>
      <c r="AE186">
        <f>VLOOKUP(Y186,'Hazard Weighting Functions'!$B$5:$G$1205,3,FALSE)</f>
        <v>1E-3</v>
      </c>
      <c r="AF186">
        <f t="shared" si="214"/>
        <v>0.13208100000000003</v>
      </c>
      <c r="AG186">
        <f t="shared" si="215"/>
        <v>0.66355500000000012</v>
      </c>
      <c r="AH186">
        <f>VLOOKUP(Y186,'Hazard Weighting Functions'!$B$5:$G$1205,5,FALSE)</f>
        <v>1.192E-2</v>
      </c>
      <c r="AI186">
        <f t="shared" si="216"/>
        <v>1.5744055200000002</v>
      </c>
      <c r="AJ186">
        <f t="shared" si="217"/>
        <v>6.6728378250000011</v>
      </c>
      <c r="AM186">
        <f t="shared" si="218"/>
        <v>663.55500000000006</v>
      </c>
      <c r="BF186" s="1"/>
      <c r="BG186" s="1"/>
      <c r="BK186" s="1">
        <f t="shared" si="204"/>
        <v>935</v>
      </c>
      <c r="BL186" s="20">
        <f t="shared" si="205"/>
        <v>1185647.9999999998</v>
      </c>
      <c r="BM186">
        <f>VLOOKUP(BK186,'Hazard Weighting Functions'!$B$5:$G$1205,4,FALSE)</f>
        <v>0.33900000000000002</v>
      </c>
      <c r="BN186">
        <f t="shared" si="222"/>
        <v>401934.67199999996</v>
      </c>
      <c r="BO186" s="19">
        <f t="shared" si="176"/>
        <v>1982915.2</v>
      </c>
      <c r="BP186" s="20">
        <f t="shared" si="206"/>
        <v>815</v>
      </c>
      <c r="BQ186" s="20">
        <f t="shared" si="206"/>
        <v>1199200</v>
      </c>
      <c r="BR186" s="19">
        <f>VLOOKUP(BP186,'Hazard Weighting Functions'!$B$5:$G$1205,4,FALSE)</f>
        <v>0.58899999999999997</v>
      </c>
      <c r="BS186" s="19">
        <f t="shared" si="223"/>
        <v>706328.79999999993</v>
      </c>
      <c r="BT186" s="19">
        <f t="shared" si="224"/>
        <v>3491511.9999999995</v>
      </c>
    </row>
    <row r="187" spans="2:72">
      <c r="B187">
        <v>690</v>
      </c>
      <c r="C187" s="36">
        <v>133.34100000000001</v>
      </c>
      <c r="E187">
        <v>690</v>
      </c>
      <c r="F187" s="36">
        <v>133.34100000000001</v>
      </c>
      <c r="H187" s="19">
        <v>690</v>
      </c>
      <c r="I187" s="36">
        <v>133.34100000000001</v>
      </c>
      <c r="K187">
        <v>1790</v>
      </c>
      <c r="L187" s="36">
        <f>619.641408*(1628/1602)</f>
        <v>629.69801012734081</v>
      </c>
      <c r="N187">
        <v>940</v>
      </c>
      <c r="O187" s="36">
        <v>1181968</v>
      </c>
      <c r="Q187" s="20">
        <v>820</v>
      </c>
      <c r="R187" s="37">
        <v>1200480</v>
      </c>
      <c r="V187">
        <f t="shared" si="208"/>
        <v>690</v>
      </c>
      <c r="W187">
        <f t="shared" si="209"/>
        <v>133.34100000000001</v>
      </c>
      <c r="Y187">
        <f t="shared" si="210"/>
        <v>690</v>
      </c>
      <c r="Z187">
        <f t="shared" si="211"/>
        <v>133.34100000000001</v>
      </c>
      <c r="AA187">
        <f>VLOOKUP(Y187,'Hazard Weighting Functions'!$B$5:$G$1205,2,FALSE)</f>
        <v>0</v>
      </c>
      <c r="AB187">
        <f t="shared" si="212"/>
        <v>0</v>
      </c>
      <c r="AC187">
        <f t="shared" si="213"/>
        <v>0</v>
      </c>
      <c r="AE187">
        <f>VLOOKUP(Y187,'Hazard Weighting Functions'!$B$5:$G$1205,3,FALSE)</f>
        <v>1E-3</v>
      </c>
      <c r="AF187">
        <f t="shared" si="214"/>
        <v>0.13334100000000002</v>
      </c>
      <c r="AG187">
        <f t="shared" si="215"/>
        <v>0.66999750000000002</v>
      </c>
      <c r="AH187">
        <f>VLOOKUP(Y187,'Hazard Weighting Functions'!$B$5:$G$1205,5,FALSE)</f>
        <v>8.2100000000000003E-3</v>
      </c>
      <c r="AI187">
        <f t="shared" si="216"/>
        <v>1.0947296100000001</v>
      </c>
      <c r="AJ187">
        <f t="shared" si="217"/>
        <v>4.6634433600000005</v>
      </c>
      <c r="AM187">
        <f t="shared" si="218"/>
        <v>669.99750000000006</v>
      </c>
      <c r="BF187" s="1"/>
      <c r="BG187" s="1"/>
      <c r="BK187" s="1">
        <f t="shared" si="204"/>
        <v>940</v>
      </c>
      <c r="BL187" s="20">
        <f t="shared" si="205"/>
        <v>1181968</v>
      </c>
      <c r="BM187">
        <f>VLOOKUP(BK187,'Hazard Weighting Functions'!$B$5:$G$1205,4,FALSE)</f>
        <v>0.33100000000000002</v>
      </c>
      <c r="BN187">
        <f t="shared" si="222"/>
        <v>391231.408</v>
      </c>
      <c r="BO187" s="19">
        <f t="shared" si="176"/>
        <v>1934027.56</v>
      </c>
      <c r="BP187" s="20">
        <f t="shared" si="206"/>
        <v>820</v>
      </c>
      <c r="BQ187" s="20">
        <f t="shared" si="206"/>
        <v>1200480</v>
      </c>
      <c r="BR187" s="19">
        <f>VLOOKUP(BP187,'Hazard Weighting Functions'!$B$5:$G$1205,4,FALSE)</f>
        <v>0.57499999999999996</v>
      </c>
      <c r="BS187" s="19">
        <f t="shared" si="223"/>
        <v>690276</v>
      </c>
      <c r="BT187" s="19">
        <f t="shared" si="224"/>
        <v>3415174.4</v>
      </c>
    </row>
    <row r="188" spans="2:72">
      <c r="B188">
        <v>695</v>
      </c>
      <c r="C188" s="36">
        <v>134.65799999999999</v>
      </c>
      <c r="E188">
        <v>695</v>
      </c>
      <c r="F188" s="36">
        <v>134.65799999999999</v>
      </c>
      <c r="H188" s="19">
        <v>695</v>
      </c>
      <c r="I188" s="36">
        <v>134.65799999999999</v>
      </c>
      <c r="K188">
        <v>1795</v>
      </c>
      <c r="L188" s="36">
        <f>615.071916*(1628/1602)</f>
        <v>625.05435658426973</v>
      </c>
      <c r="N188">
        <v>945</v>
      </c>
      <c r="O188" s="36">
        <v>1180184</v>
      </c>
      <c r="Q188" s="20">
        <v>825</v>
      </c>
      <c r="R188" s="37">
        <v>1202480</v>
      </c>
      <c r="V188">
        <f t="shared" si="208"/>
        <v>695</v>
      </c>
      <c r="W188">
        <f t="shared" si="209"/>
        <v>134.65799999999999</v>
      </c>
      <c r="Y188">
        <f t="shared" si="210"/>
        <v>695</v>
      </c>
      <c r="Z188">
        <f t="shared" si="211"/>
        <v>134.65799999999999</v>
      </c>
      <c r="AA188">
        <f>VLOOKUP(Y188,'Hazard Weighting Functions'!$B$5:$G$1205,2,FALSE)</f>
        <v>0</v>
      </c>
      <c r="AB188">
        <f t="shared" si="212"/>
        <v>0</v>
      </c>
      <c r="AC188">
        <f t="shared" si="213"/>
        <v>0</v>
      </c>
      <c r="AE188">
        <f>VLOOKUP(Y188,'Hazard Weighting Functions'!$B$5:$G$1205,3,FALSE)</f>
        <v>1E-3</v>
      </c>
      <c r="AF188">
        <f t="shared" si="214"/>
        <v>0.134658</v>
      </c>
      <c r="AG188">
        <f t="shared" si="215"/>
        <v>0.67630000000000012</v>
      </c>
      <c r="AH188">
        <f>VLOOKUP(Y188,'Hazard Weighting Functions'!$B$5:$G$1205,5,FALSE)</f>
        <v>5.7229999999999998E-3</v>
      </c>
      <c r="AI188">
        <f t="shared" si="216"/>
        <v>0.77064773399999986</v>
      </c>
      <c r="AJ188">
        <f t="shared" si="217"/>
        <v>3.3198841449999996</v>
      </c>
      <c r="AM188">
        <f t="shared" si="218"/>
        <v>676.3</v>
      </c>
      <c r="BF188" s="1"/>
      <c r="BG188" s="1"/>
      <c r="BK188" s="1">
        <f t="shared" si="204"/>
        <v>945</v>
      </c>
      <c r="BL188" s="20">
        <f t="shared" si="205"/>
        <v>1180184</v>
      </c>
      <c r="BM188">
        <f>VLOOKUP(BK188,'Hazard Weighting Functions'!$B$5:$G$1205,4,FALSE)</f>
        <v>0.32400000000000001</v>
      </c>
      <c r="BN188">
        <f t="shared" si="222"/>
        <v>382379.61600000004</v>
      </c>
      <c r="BO188" s="19">
        <f t="shared" si="176"/>
        <v>1886771.2800000003</v>
      </c>
      <c r="BP188" s="20">
        <f t="shared" si="206"/>
        <v>825</v>
      </c>
      <c r="BQ188" s="20">
        <f t="shared" si="206"/>
        <v>1202480</v>
      </c>
      <c r="BR188" s="19">
        <f>VLOOKUP(BP188,'Hazard Weighting Functions'!$B$5:$G$1205,4,FALSE)</f>
        <v>0.56200000000000006</v>
      </c>
      <c r="BS188" s="19">
        <f t="shared" si="223"/>
        <v>675793.76</v>
      </c>
      <c r="BT188" s="19">
        <f t="shared" si="224"/>
        <v>3345270.4000000004</v>
      </c>
    </row>
    <row r="189" spans="2:72">
      <c r="B189">
        <v>700</v>
      </c>
      <c r="C189" s="36">
        <v>135.86200000000002</v>
      </c>
      <c r="E189">
        <v>700</v>
      </c>
      <c r="F189" s="36">
        <v>135.86200000000002</v>
      </c>
      <c r="H189" s="19">
        <v>700</v>
      </c>
      <c r="I189" s="36">
        <v>135.86200000000002</v>
      </c>
      <c r="K189">
        <v>1800</v>
      </c>
      <c r="L189" s="36">
        <f>610.535796*(1628/1602)</f>
        <v>620.44461665917595</v>
      </c>
      <c r="N189">
        <v>950</v>
      </c>
      <c r="O189" s="36">
        <v>1178256</v>
      </c>
      <c r="Q189" s="20">
        <v>830</v>
      </c>
      <c r="R189" s="37">
        <v>1204208</v>
      </c>
      <c r="V189">
        <f t="shared" si="208"/>
        <v>700</v>
      </c>
      <c r="W189">
        <f t="shared" si="209"/>
        <v>135.86200000000002</v>
      </c>
      <c r="Y189">
        <f t="shared" si="210"/>
        <v>700</v>
      </c>
      <c r="Z189">
        <f t="shared" si="211"/>
        <v>135.86200000000002</v>
      </c>
      <c r="AA189">
        <f>VLOOKUP(Y189,'Hazard Weighting Functions'!$B$5:$G$1205,2,FALSE)</f>
        <v>0</v>
      </c>
      <c r="AB189">
        <f t="shared" si="212"/>
        <v>0</v>
      </c>
      <c r="AC189">
        <f t="shared" si="213"/>
        <v>0</v>
      </c>
      <c r="AE189">
        <f>VLOOKUP(Y189,'Hazard Weighting Functions'!$B$5:$G$1205,3,FALSE)</f>
        <v>1E-3</v>
      </c>
      <c r="AF189">
        <f t="shared" si="214"/>
        <v>0.13586200000000004</v>
      </c>
      <c r="AH189">
        <f>VLOOKUP(Y189,'Hazard Weighting Functions'!$B$5:$G$1205,5,FALSE)</f>
        <v>4.1019999999999997E-3</v>
      </c>
      <c r="AI189">
        <f t="shared" si="216"/>
        <v>0.55730592400000001</v>
      </c>
      <c r="AJ189">
        <f t="shared" si="217"/>
        <v>2.3963374725000004</v>
      </c>
      <c r="AM189">
        <f t="shared" si="218"/>
        <v>682.11750000000006</v>
      </c>
      <c r="BF189" s="1"/>
      <c r="BG189" s="1"/>
      <c r="BK189" s="1">
        <f t="shared" si="204"/>
        <v>950</v>
      </c>
      <c r="BL189" s="20">
        <f t="shared" si="205"/>
        <v>1178256</v>
      </c>
      <c r="BM189">
        <f>VLOOKUP(BK189,'Hazard Weighting Functions'!$B$5:$G$1205,4,FALSE)</f>
        <v>0.316</v>
      </c>
      <c r="BN189">
        <f t="shared" si="222"/>
        <v>372328.89600000001</v>
      </c>
      <c r="BO189" s="19">
        <f t="shared" si="176"/>
        <v>1839424.38</v>
      </c>
      <c r="BP189" s="20">
        <f t="shared" si="206"/>
        <v>830</v>
      </c>
      <c r="BQ189" s="20">
        <f t="shared" si="206"/>
        <v>1204208</v>
      </c>
      <c r="BR189" s="19">
        <f>VLOOKUP(BP189,'Hazard Weighting Functions'!$B$5:$G$1205,4,FALSE)</f>
        <v>0.55000000000000004</v>
      </c>
      <c r="BS189" s="19">
        <f t="shared" si="223"/>
        <v>662314.4</v>
      </c>
      <c r="BT189" s="19">
        <f t="shared" si="224"/>
        <v>3274400.66</v>
      </c>
    </row>
    <row r="190" spans="2:72">
      <c r="B190">
        <v>705</v>
      </c>
      <c r="C190" s="36">
        <v>136.98500000000001</v>
      </c>
      <c r="E190">
        <v>705</v>
      </c>
      <c r="F190" s="36">
        <v>136.98500000000001</v>
      </c>
      <c r="H190" s="19">
        <v>705</v>
      </c>
      <c r="I190" s="36">
        <v>136.98500000000001</v>
      </c>
      <c r="K190">
        <v>1805</v>
      </c>
      <c r="L190" s="36">
        <f>606.025632*(1628/1602)</f>
        <v>615.86125399250932</v>
      </c>
      <c r="N190">
        <v>955</v>
      </c>
      <c r="O190" s="36">
        <v>1176184</v>
      </c>
      <c r="Q190" s="20">
        <v>835</v>
      </c>
      <c r="R190" s="37">
        <v>1205672</v>
      </c>
      <c r="V190">
        <f t="shared" si="208"/>
        <v>705</v>
      </c>
      <c r="W190">
        <f t="shared" si="209"/>
        <v>136.98500000000001</v>
      </c>
      <c r="Y190">
        <f t="shared" si="210"/>
        <v>705</v>
      </c>
      <c r="Z190">
        <f t="shared" si="211"/>
        <v>136.98500000000001</v>
      </c>
      <c r="AA190">
        <f>VLOOKUP(Y190,'Hazard Weighting Functions'!$B$5:$G$1205,2,FALSE)</f>
        <v>0</v>
      </c>
      <c r="AB190">
        <f t="shared" si="212"/>
        <v>0</v>
      </c>
      <c r="AC190">
        <f t="shared" si="213"/>
        <v>0</v>
      </c>
      <c r="AE190">
        <f>VLOOKUP(Y190,'Hazard Weighting Functions'!$B$5:$G$1205,3,FALSE)</f>
        <v>0</v>
      </c>
      <c r="AF190">
        <f t="shared" si="214"/>
        <v>0</v>
      </c>
      <c r="AG190">
        <f t="shared" si="215"/>
        <v>0</v>
      </c>
      <c r="AH190">
        <f>VLOOKUP(Y190,'Hazard Weighting Functions'!$B$5:$G$1205,5,FALSE)</f>
        <v>2.9290000000000002E-3</v>
      </c>
      <c r="AI190">
        <f t="shared" si="216"/>
        <v>0.40122906500000005</v>
      </c>
      <c r="AJ190">
        <f t="shared" si="217"/>
        <v>1.7243997050000002</v>
      </c>
      <c r="AM190">
        <f t="shared" si="218"/>
        <v>687.43</v>
      </c>
      <c r="BF190" s="1"/>
      <c r="BG190" s="1"/>
      <c r="BK190" s="1">
        <f t="shared" si="204"/>
        <v>955</v>
      </c>
      <c r="BL190" s="20">
        <f t="shared" si="205"/>
        <v>1176184</v>
      </c>
      <c r="BM190">
        <f>VLOOKUP(BK190,'Hazard Weighting Functions'!$B$5:$G$1205,4,FALSE)</f>
        <v>0.309</v>
      </c>
      <c r="BN190">
        <f t="shared" si="222"/>
        <v>363440.85599999997</v>
      </c>
      <c r="BO190" s="19">
        <f t="shared" si="176"/>
        <v>1794947.98</v>
      </c>
      <c r="BP190" s="20">
        <f t="shared" si="206"/>
        <v>835</v>
      </c>
      <c r="BQ190" s="20">
        <f t="shared" si="206"/>
        <v>1205672</v>
      </c>
      <c r="BR190" s="19">
        <f>VLOOKUP(BP190,'Hazard Weighting Functions'!$B$5:$G$1205,4,FALSE)</f>
        <v>0.53700000000000003</v>
      </c>
      <c r="BS190" s="19">
        <f t="shared" si="223"/>
        <v>647445.86400000006</v>
      </c>
      <c r="BT190" s="19">
        <f t="shared" si="224"/>
        <v>3202655.16</v>
      </c>
    </row>
    <row r="191" spans="2:72">
      <c r="B191">
        <v>710</v>
      </c>
      <c r="C191" s="36">
        <v>137.98699999999999</v>
      </c>
      <c r="E191">
        <v>710</v>
      </c>
      <c r="F191" s="36">
        <v>137.98699999999999</v>
      </c>
      <c r="H191" s="19">
        <v>710</v>
      </c>
      <c r="I191" s="36">
        <v>137.98699999999999</v>
      </c>
      <c r="K191">
        <v>1810</v>
      </c>
      <c r="L191" s="36">
        <f>601.547604*(1628/1602)</f>
        <v>611.31054888389508</v>
      </c>
      <c r="N191">
        <v>960</v>
      </c>
      <c r="O191" s="36">
        <v>1173968</v>
      </c>
      <c r="Q191" s="20">
        <v>840</v>
      </c>
      <c r="R191" s="37">
        <v>1206887.9999999998</v>
      </c>
      <c r="V191">
        <f t="shared" si="208"/>
        <v>710</v>
      </c>
      <c r="W191">
        <f t="shared" si="209"/>
        <v>137.98699999999999</v>
      </c>
      <c r="Y191">
        <f t="shared" si="210"/>
        <v>710</v>
      </c>
      <c r="Z191">
        <f t="shared" si="211"/>
        <v>137.98699999999999</v>
      </c>
      <c r="AA191">
        <f>VLOOKUP(Y191,'Hazard Weighting Functions'!$B$5:$G$1205,2,FALSE)</f>
        <v>0</v>
      </c>
      <c r="AB191">
        <f t="shared" si="212"/>
        <v>0</v>
      </c>
      <c r="AC191">
        <f t="shared" si="213"/>
        <v>0</v>
      </c>
      <c r="AE191">
        <f>VLOOKUP(Y191,'Hazard Weighting Functions'!$B$5:$G$1205,3,FALSE)</f>
        <v>0</v>
      </c>
      <c r="AF191">
        <f t="shared" si="214"/>
        <v>0</v>
      </c>
      <c r="AG191">
        <f t="shared" si="215"/>
        <v>0</v>
      </c>
      <c r="AH191">
        <f>VLOOKUP(Y191,'Hazard Weighting Functions'!$B$5:$G$1205,5,FALSE)</f>
        <v>2.091E-3</v>
      </c>
      <c r="AI191">
        <f t="shared" si="216"/>
        <v>0.28853081699999999</v>
      </c>
      <c r="AJ191">
        <f t="shared" si="217"/>
        <v>1.2368500925000001</v>
      </c>
      <c r="AM191">
        <f t="shared" si="218"/>
        <v>692.35500000000002</v>
      </c>
      <c r="BF191" s="1"/>
      <c r="BG191" s="1"/>
      <c r="BK191" s="1">
        <f t="shared" si="204"/>
        <v>960</v>
      </c>
      <c r="BL191" s="20">
        <f t="shared" si="205"/>
        <v>1173968</v>
      </c>
      <c r="BM191">
        <f>VLOOKUP(BK191,'Hazard Weighting Functions'!$B$5:$G$1205,4,FALSE)</f>
        <v>0.30199999999999999</v>
      </c>
      <c r="BN191">
        <f t="shared" si="222"/>
        <v>354538.33600000001</v>
      </c>
      <c r="BO191" s="19">
        <f t="shared" si="176"/>
        <v>1749061.5399999998</v>
      </c>
      <c r="BP191" s="20">
        <f t="shared" si="206"/>
        <v>840</v>
      </c>
      <c r="BQ191" s="20">
        <f t="shared" si="206"/>
        <v>1206887.9999999998</v>
      </c>
      <c r="BR191" s="19">
        <f>VLOOKUP(BP191,'Hazard Weighting Functions'!$B$5:$G$1205,4,FALSE)</f>
        <v>0.52500000000000002</v>
      </c>
      <c r="BS191" s="19">
        <f t="shared" si="223"/>
        <v>633616.19999999995</v>
      </c>
      <c r="BT191" s="19">
        <f t="shared" si="224"/>
        <v>3133669.8600000003</v>
      </c>
    </row>
    <row r="192" spans="2:72">
      <c r="B192">
        <v>715</v>
      </c>
      <c r="C192" s="36">
        <v>138.95500000000001</v>
      </c>
      <c r="E192">
        <v>715</v>
      </c>
      <c r="F192" s="36">
        <v>138.95500000000001</v>
      </c>
      <c r="H192" s="19">
        <v>715</v>
      </c>
      <c r="I192" s="36">
        <v>138.95500000000001</v>
      </c>
      <c r="K192">
        <v>1815</v>
      </c>
      <c r="L192" s="36">
        <f>597.101712*(1628/1602)</f>
        <v>606.79250133333323</v>
      </c>
      <c r="N192">
        <v>965</v>
      </c>
      <c r="O192" s="36">
        <v>1169784</v>
      </c>
      <c r="Q192" s="20">
        <v>845</v>
      </c>
      <c r="R192" s="37">
        <v>1208288</v>
      </c>
      <c r="V192">
        <f t="shared" si="208"/>
        <v>715</v>
      </c>
      <c r="W192">
        <f t="shared" si="209"/>
        <v>138.95500000000001</v>
      </c>
      <c r="Y192">
        <f t="shared" si="210"/>
        <v>715</v>
      </c>
      <c r="Z192">
        <f t="shared" si="211"/>
        <v>138.95500000000001</v>
      </c>
      <c r="AA192">
        <f>VLOOKUP(Y192,'Hazard Weighting Functions'!$B$5:$G$1205,2,FALSE)</f>
        <v>0</v>
      </c>
      <c r="AB192">
        <f t="shared" si="212"/>
        <v>0</v>
      </c>
      <c r="AC192">
        <f t="shared" si="213"/>
        <v>0</v>
      </c>
      <c r="AE192">
        <f>VLOOKUP(Y192,'Hazard Weighting Functions'!$B$5:$G$1205,3,FALSE)</f>
        <v>0</v>
      </c>
      <c r="AF192">
        <f t="shared" si="214"/>
        <v>0</v>
      </c>
      <c r="AG192">
        <f t="shared" si="215"/>
        <v>0</v>
      </c>
      <c r="AH192">
        <f>VLOOKUP(Y192,'Hazard Weighting Functions'!$B$5:$G$1205,5,FALSE)</f>
        <v>1.4840000000000001E-3</v>
      </c>
      <c r="AI192">
        <f t="shared" si="216"/>
        <v>0.20620922000000003</v>
      </c>
      <c r="AJ192">
        <f t="shared" si="217"/>
        <v>0.88150713500000011</v>
      </c>
      <c r="AM192">
        <f t="shared" si="218"/>
        <v>696.94250000000011</v>
      </c>
      <c r="BF192" s="1"/>
      <c r="BG192" s="1"/>
      <c r="BK192" s="1">
        <f t="shared" si="204"/>
        <v>965</v>
      </c>
      <c r="BL192" s="20">
        <f t="shared" si="205"/>
        <v>1169784</v>
      </c>
      <c r="BM192">
        <f>VLOOKUP(BK192,'Hazard Weighting Functions'!$B$5:$G$1205,4,FALSE)</f>
        <v>0.29499999999999998</v>
      </c>
      <c r="BN192">
        <f t="shared" si="222"/>
        <v>345086.27999999997</v>
      </c>
      <c r="BO192" s="19">
        <f t="shared" si="176"/>
        <v>1701861.3</v>
      </c>
      <c r="BP192" s="20">
        <f t="shared" si="206"/>
        <v>845</v>
      </c>
      <c r="BQ192" s="20">
        <f t="shared" si="206"/>
        <v>1208288</v>
      </c>
      <c r="BR192" s="19">
        <f>VLOOKUP(BP192,'Hazard Weighting Functions'!$B$5:$G$1205,4,FALSE)</f>
        <v>0.51300000000000001</v>
      </c>
      <c r="BS192" s="19">
        <f t="shared" si="223"/>
        <v>619851.74400000006</v>
      </c>
      <c r="BT192" s="19">
        <f t="shared" si="224"/>
        <v>3064452.96</v>
      </c>
    </row>
    <row r="193" spans="2:72">
      <c r="B193">
        <v>720</v>
      </c>
      <c r="C193" s="36">
        <v>139.822</v>
      </c>
      <c r="E193">
        <v>720</v>
      </c>
      <c r="F193" s="36">
        <v>139.822</v>
      </c>
      <c r="H193" s="19">
        <v>720</v>
      </c>
      <c r="I193" s="36">
        <v>139.822</v>
      </c>
      <c r="K193">
        <v>1820</v>
      </c>
      <c r="L193" s="36">
        <f>592.690428*(1628/1602)</f>
        <v>602.30962346067417</v>
      </c>
      <c r="N193">
        <v>970</v>
      </c>
      <c r="O193" s="36">
        <v>1165480</v>
      </c>
      <c r="Q193" s="20">
        <v>850</v>
      </c>
      <c r="R193" s="37">
        <v>1209440</v>
      </c>
      <c r="V193">
        <f t="shared" si="208"/>
        <v>720</v>
      </c>
      <c r="W193">
        <f t="shared" si="209"/>
        <v>139.822</v>
      </c>
      <c r="Y193">
        <f t="shared" si="210"/>
        <v>720</v>
      </c>
      <c r="Z193">
        <f t="shared" si="211"/>
        <v>139.822</v>
      </c>
      <c r="AA193">
        <f>VLOOKUP(Y193,'Hazard Weighting Functions'!$B$5:$G$1205,2,FALSE)</f>
        <v>0</v>
      </c>
      <c r="AB193">
        <f t="shared" si="212"/>
        <v>0</v>
      </c>
      <c r="AC193">
        <f t="shared" si="213"/>
        <v>0</v>
      </c>
      <c r="AE193">
        <f>VLOOKUP(Y193,'Hazard Weighting Functions'!$B$5:$G$1205,3,FALSE)</f>
        <v>0</v>
      </c>
      <c r="AF193">
        <f t="shared" si="214"/>
        <v>0</v>
      </c>
      <c r="AG193">
        <f t="shared" si="215"/>
        <v>0</v>
      </c>
      <c r="AH193">
        <f>VLOOKUP(Y193,'Hazard Weighting Functions'!$B$5:$G$1205,5,FALSE)</f>
        <v>1.047E-3</v>
      </c>
      <c r="AI193">
        <f t="shared" si="216"/>
        <v>0.14639363399999999</v>
      </c>
      <c r="AJ193">
        <f t="shared" si="217"/>
        <v>0.62639933499999989</v>
      </c>
      <c r="AM193">
        <f t="shared" si="218"/>
        <v>701.46749999999997</v>
      </c>
      <c r="BF193" s="1"/>
      <c r="BG193" s="1"/>
      <c r="BK193" s="1">
        <f t="shared" si="204"/>
        <v>970</v>
      </c>
      <c r="BL193" s="20">
        <f t="shared" si="205"/>
        <v>1165480</v>
      </c>
      <c r="BM193">
        <f>VLOOKUP(BK193,'Hazard Weighting Functions'!$B$5:$G$1205,4,FALSE)</f>
        <v>0.28799999999999998</v>
      </c>
      <c r="BN193">
        <f t="shared" si="222"/>
        <v>335658.23999999999</v>
      </c>
      <c r="BO193" s="19">
        <f t="shared" si="176"/>
        <v>1657684.44</v>
      </c>
      <c r="BP193" s="20">
        <f t="shared" si="206"/>
        <v>850</v>
      </c>
      <c r="BQ193" s="20">
        <f t="shared" si="206"/>
        <v>1209440</v>
      </c>
      <c r="BR193" s="19">
        <f>VLOOKUP(BP193,'Hazard Weighting Functions'!$B$5:$G$1205,4,FALSE)</f>
        <v>0.501</v>
      </c>
      <c r="BS193" s="19">
        <f t="shared" si="223"/>
        <v>605929.43999999994</v>
      </c>
      <c r="BT193" s="19">
        <f t="shared" si="224"/>
        <v>2997504.8</v>
      </c>
    </row>
    <row r="194" spans="2:72">
      <c r="B194">
        <v>725</v>
      </c>
      <c r="C194" s="36">
        <v>140.76500000000001</v>
      </c>
      <c r="E194">
        <v>725</v>
      </c>
      <c r="F194" s="36">
        <v>140.76500000000001</v>
      </c>
      <c r="H194" s="19">
        <v>725</v>
      </c>
      <c r="I194" s="36">
        <v>140.76500000000001</v>
      </c>
      <c r="K194">
        <v>1825</v>
      </c>
      <c r="L194" s="36">
        <f>588.310044*(1628/1602)</f>
        <v>597.85814708614237</v>
      </c>
      <c r="N194">
        <v>975</v>
      </c>
      <c r="O194" s="36">
        <v>1161048</v>
      </c>
      <c r="Q194" s="20">
        <v>855</v>
      </c>
      <c r="R194" s="37">
        <v>1210352</v>
      </c>
      <c r="V194">
        <f t="shared" si="208"/>
        <v>725</v>
      </c>
      <c r="W194">
        <f t="shared" si="209"/>
        <v>140.76500000000001</v>
      </c>
      <c r="Y194">
        <f t="shared" si="210"/>
        <v>725</v>
      </c>
      <c r="Z194">
        <f t="shared" si="211"/>
        <v>140.76500000000001</v>
      </c>
      <c r="AA194">
        <f>VLOOKUP(Y194,'Hazard Weighting Functions'!$B$5:$G$1205,2,FALSE)</f>
        <v>0</v>
      </c>
      <c r="AB194">
        <f t="shared" si="212"/>
        <v>0</v>
      </c>
      <c r="AC194">
        <f t="shared" si="213"/>
        <v>0</v>
      </c>
      <c r="AE194">
        <f>VLOOKUP(Y194,'Hazard Weighting Functions'!$B$5:$G$1205,3,FALSE)</f>
        <v>0</v>
      </c>
      <c r="AF194">
        <f t="shared" si="214"/>
        <v>0</v>
      </c>
      <c r="AG194">
        <f t="shared" si="215"/>
        <v>0</v>
      </c>
      <c r="AH194">
        <f>VLOOKUP(Y194,'Hazard Weighting Functions'!$B$5:$G$1205,5,FALSE)</f>
        <v>7.3999999999999999E-4</v>
      </c>
      <c r="AI194">
        <f t="shared" si="216"/>
        <v>0.10416610000000001</v>
      </c>
      <c r="AJ194">
        <f t="shared" si="217"/>
        <v>0.44461485000000001</v>
      </c>
      <c r="AM194">
        <f t="shared" si="218"/>
        <v>706.14249999999993</v>
      </c>
      <c r="BF194" s="1"/>
      <c r="BG194" s="1"/>
      <c r="BK194" s="1">
        <f t="shared" si="204"/>
        <v>975</v>
      </c>
      <c r="BL194" s="20">
        <f t="shared" si="205"/>
        <v>1161048</v>
      </c>
      <c r="BM194">
        <f>VLOOKUP(BK194,'Hazard Weighting Functions'!$B$5:$G$1205,4,FALSE)</f>
        <v>0.28199999999999997</v>
      </c>
      <c r="BN194">
        <f t="shared" si="222"/>
        <v>327415.53599999996</v>
      </c>
      <c r="BO194" s="19">
        <f t="shared" si="176"/>
        <v>1613624.34</v>
      </c>
      <c r="BP194" s="20">
        <f t="shared" si="206"/>
        <v>855</v>
      </c>
      <c r="BQ194" s="20">
        <f t="shared" si="206"/>
        <v>1210352</v>
      </c>
      <c r="BR194" s="19">
        <f>VLOOKUP(BP194,'Hazard Weighting Functions'!$B$5:$G$1205,4,FALSE)</f>
        <v>0.49</v>
      </c>
      <c r="BS194" s="19">
        <f t="shared" si="223"/>
        <v>593072.48</v>
      </c>
      <c r="BT194" s="19">
        <f t="shared" si="224"/>
        <v>2932892.0199999996</v>
      </c>
    </row>
    <row r="195" spans="2:72">
      <c r="B195">
        <v>730</v>
      </c>
      <c r="C195" s="36">
        <v>141.69200000000001</v>
      </c>
      <c r="E195">
        <v>730</v>
      </c>
      <c r="F195" s="36">
        <v>141.69200000000001</v>
      </c>
      <c r="H195" s="19">
        <v>730</v>
      </c>
      <c r="I195" s="36">
        <v>141.69200000000001</v>
      </c>
      <c r="K195">
        <v>1830</v>
      </c>
      <c r="L195" s="36">
        <f>583.961796*(1628/1602)</f>
        <v>593.43932826966284</v>
      </c>
      <c r="N195">
        <v>980</v>
      </c>
      <c r="O195" s="36">
        <v>1156488</v>
      </c>
      <c r="Q195" s="20">
        <v>860</v>
      </c>
      <c r="R195" s="37">
        <v>1211031.9999999998</v>
      </c>
      <c r="V195">
        <f t="shared" si="208"/>
        <v>730</v>
      </c>
      <c r="W195">
        <f t="shared" si="209"/>
        <v>141.69200000000001</v>
      </c>
      <c r="Y195">
        <f t="shared" si="210"/>
        <v>730</v>
      </c>
      <c r="Z195">
        <f t="shared" si="211"/>
        <v>141.69200000000001</v>
      </c>
      <c r="AA195">
        <f>VLOOKUP(Y195,'Hazard Weighting Functions'!$B$5:$G$1205,2,FALSE)</f>
        <v>0</v>
      </c>
      <c r="AB195">
        <f t="shared" si="212"/>
        <v>0</v>
      </c>
      <c r="AC195">
        <f t="shared" si="213"/>
        <v>0</v>
      </c>
      <c r="AE195">
        <f>VLOOKUP(Y195,'Hazard Weighting Functions'!$B$5:$G$1205,3,FALSE)</f>
        <v>0</v>
      </c>
      <c r="AF195">
        <f t="shared" si="214"/>
        <v>0</v>
      </c>
      <c r="AG195">
        <f t="shared" si="215"/>
        <v>0</v>
      </c>
      <c r="AH195">
        <f>VLOOKUP(Y195,'Hazard Weighting Functions'!$B$5:$G$1205,5,FALSE)</f>
        <v>5.1999999999999995E-4</v>
      </c>
      <c r="AI195">
        <f t="shared" si="216"/>
        <v>7.3679839999999996E-2</v>
      </c>
      <c r="AJ195">
        <f t="shared" si="217"/>
        <v>0.31290918125</v>
      </c>
      <c r="AM195">
        <f t="shared" si="218"/>
        <v>710.66750000000002</v>
      </c>
      <c r="BF195" s="1"/>
      <c r="BG195" s="1"/>
      <c r="BK195" s="1">
        <f t="shared" si="204"/>
        <v>980</v>
      </c>
      <c r="BL195" s="20">
        <f t="shared" si="205"/>
        <v>1156488</v>
      </c>
      <c r="BM195">
        <f>VLOOKUP(BK195,'Hazard Weighting Functions'!$B$5:$G$1205,4,FALSE)</f>
        <v>0.27500000000000002</v>
      </c>
      <c r="BN195">
        <f t="shared" si="222"/>
        <v>318034.2</v>
      </c>
      <c r="BO195" s="19">
        <f t="shared" si="176"/>
        <v>1570370.4</v>
      </c>
      <c r="BP195" s="20">
        <f t="shared" si="206"/>
        <v>860</v>
      </c>
      <c r="BQ195" s="20">
        <f t="shared" si="206"/>
        <v>1211031.9999999998</v>
      </c>
      <c r="BR195" s="19">
        <f>VLOOKUP(BP195,'Hazard Weighting Functions'!$B$5:$G$1205,4,FALSE)</f>
        <v>0.47899999999999998</v>
      </c>
      <c r="BS195" s="19">
        <f t="shared" si="223"/>
        <v>580084.32799999986</v>
      </c>
      <c r="BT195" s="19">
        <f t="shared" si="224"/>
        <v>2865667.459999999</v>
      </c>
    </row>
    <row r="196" spans="2:72">
      <c r="B196">
        <v>735</v>
      </c>
      <c r="C196" s="36">
        <v>142.57499999999999</v>
      </c>
      <c r="E196">
        <v>735</v>
      </c>
      <c r="F196" s="36">
        <v>142.57499999999999</v>
      </c>
      <c r="H196" s="19">
        <v>735</v>
      </c>
      <c r="I196" s="36">
        <v>142.57499999999999</v>
      </c>
      <c r="K196">
        <v>1835</v>
      </c>
      <c r="L196" s="36">
        <f>579.645684*(1628/1602)</f>
        <v>589.05316701123593</v>
      </c>
      <c r="N196">
        <v>985</v>
      </c>
      <c r="O196" s="36">
        <v>1152839.9999999998</v>
      </c>
      <c r="Q196" s="20">
        <v>865</v>
      </c>
      <c r="R196" s="37">
        <v>1209791.9999999998</v>
      </c>
      <c r="V196">
        <f t="shared" si="208"/>
        <v>735</v>
      </c>
      <c r="W196">
        <f t="shared" si="209"/>
        <v>142.57499999999999</v>
      </c>
      <c r="Y196">
        <f t="shared" si="210"/>
        <v>735</v>
      </c>
      <c r="Z196">
        <f t="shared" si="211"/>
        <v>142.57499999999999</v>
      </c>
      <c r="AA196">
        <f>VLOOKUP(Y196,'Hazard Weighting Functions'!$B$5:$G$1205,2,FALSE)</f>
        <v>0</v>
      </c>
      <c r="AB196">
        <f t="shared" si="212"/>
        <v>0</v>
      </c>
      <c r="AC196">
        <f t="shared" si="213"/>
        <v>0</v>
      </c>
      <c r="AE196">
        <f>VLOOKUP(Y196,'Hazard Weighting Functions'!$B$5:$G$1205,3,FALSE)</f>
        <v>0</v>
      </c>
      <c r="AF196">
        <f t="shared" si="214"/>
        <v>0</v>
      </c>
      <c r="AG196">
        <f t="shared" si="215"/>
        <v>0</v>
      </c>
      <c r="AH196">
        <f>VLOOKUP(Y196,'Hazard Weighting Functions'!$B$5:$G$1205,5,FALSE)</f>
        <v>3.611E-4</v>
      </c>
      <c r="AI196">
        <f t="shared" si="216"/>
        <v>5.1483832499999993E-2</v>
      </c>
      <c r="AJ196">
        <f t="shared" si="217"/>
        <v>0.21847578224999997</v>
      </c>
      <c r="AM196">
        <f t="shared" si="218"/>
        <v>716.65499999999997</v>
      </c>
      <c r="BF196" s="1"/>
      <c r="BG196" s="1"/>
      <c r="BK196" s="1">
        <f t="shared" si="204"/>
        <v>985</v>
      </c>
      <c r="BL196" s="20">
        <f t="shared" si="205"/>
        <v>1152839.9999999998</v>
      </c>
      <c r="BM196">
        <f>VLOOKUP(BK196,'Hazard Weighting Functions'!$B$5:$G$1205,4,FALSE)</f>
        <v>0.26900000000000002</v>
      </c>
      <c r="BN196">
        <f t="shared" si="222"/>
        <v>310113.95999999996</v>
      </c>
      <c r="BO196" s="19">
        <f t="shared" si="176"/>
        <v>1530799.7399999998</v>
      </c>
      <c r="BP196" s="20">
        <f t="shared" si="206"/>
        <v>865</v>
      </c>
      <c r="BQ196" s="20">
        <f t="shared" si="206"/>
        <v>1209791.9999999998</v>
      </c>
      <c r="BR196" s="19">
        <f>VLOOKUP(BP196,'Hazard Weighting Functions'!$B$5:$G$1205,4,FALSE)</f>
        <v>0.46800000000000003</v>
      </c>
      <c r="BS196" s="19">
        <f t="shared" si="223"/>
        <v>566182.65599999996</v>
      </c>
      <c r="BT196" s="19">
        <f t="shared" si="224"/>
        <v>2795962.2399999993</v>
      </c>
    </row>
    <row r="197" spans="2:72">
      <c r="B197">
        <v>740</v>
      </c>
      <c r="C197" s="36">
        <v>144.08699999999999</v>
      </c>
      <c r="E197">
        <v>740</v>
      </c>
      <c r="F197" s="36">
        <v>144.08699999999999</v>
      </c>
      <c r="H197" s="19">
        <v>740</v>
      </c>
      <c r="I197" s="36">
        <v>144.08699999999999</v>
      </c>
      <c r="K197">
        <v>1840</v>
      </c>
      <c r="L197" s="36">
        <f>575.361708*(1628/1602)</f>
        <v>584.69966331086152</v>
      </c>
      <c r="N197">
        <v>990</v>
      </c>
      <c r="O197" s="36">
        <v>1149071.9999999998</v>
      </c>
      <c r="Q197" s="20">
        <v>870</v>
      </c>
      <c r="R197" s="37">
        <v>1208319.9999999998</v>
      </c>
      <c r="V197">
        <f t="shared" si="208"/>
        <v>740</v>
      </c>
      <c r="W197">
        <f t="shared" si="209"/>
        <v>144.08699999999999</v>
      </c>
      <c r="Y197">
        <f t="shared" si="210"/>
        <v>740</v>
      </c>
      <c r="Z197">
        <f t="shared" si="211"/>
        <v>144.08699999999999</v>
      </c>
      <c r="AA197">
        <f>VLOOKUP(Y197,'Hazard Weighting Functions'!$B$5:$G$1205,2,FALSE)</f>
        <v>0</v>
      </c>
      <c r="AB197">
        <f t="shared" si="212"/>
        <v>0</v>
      </c>
      <c r="AC197">
        <f t="shared" si="213"/>
        <v>0</v>
      </c>
      <c r="AE197">
        <f>VLOOKUP(Y197,'Hazard Weighting Functions'!$B$5:$G$1205,3,FALSE)</f>
        <v>0</v>
      </c>
      <c r="AF197">
        <f t="shared" si="214"/>
        <v>0</v>
      </c>
      <c r="AG197">
        <f t="shared" si="215"/>
        <v>0</v>
      </c>
      <c r="AH197">
        <f>VLOOKUP(Y197,'Hazard Weighting Functions'!$B$5:$G$1205,5,FALSE)</f>
        <v>2.4919999999999999E-4</v>
      </c>
      <c r="AI197">
        <f t="shared" si="216"/>
        <v>3.5906480399999996E-2</v>
      </c>
      <c r="AJ197">
        <f t="shared" si="217"/>
        <v>0.15183155549999999</v>
      </c>
      <c r="AM197">
        <f t="shared" si="218"/>
        <v>721.27250000000004</v>
      </c>
      <c r="BF197" s="1"/>
      <c r="BG197" s="1"/>
      <c r="BK197" s="1">
        <f t="shared" si="204"/>
        <v>990</v>
      </c>
      <c r="BL197" s="20">
        <f t="shared" si="205"/>
        <v>1149071.9999999998</v>
      </c>
      <c r="BM197">
        <f>VLOOKUP(BK197,'Hazard Weighting Functions'!$B$5:$G$1205,4,FALSE)</f>
        <v>0.26300000000000001</v>
      </c>
      <c r="BN197">
        <f t="shared" si="222"/>
        <v>302205.93599999993</v>
      </c>
      <c r="BO197" s="19">
        <f t="shared" ref="BO197:BO260" si="246">0.5*(BK198-BK197)*(BN197+BN198)</f>
        <v>1491300.6999999997</v>
      </c>
      <c r="BP197" s="20">
        <f t="shared" si="206"/>
        <v>870</v>
      </c>
      <c r="BQ197" s="20">
        <f t="shared" si="206"/>
        <v>1208319.9999999998</v>
      </c>
      <c r="BR197" s="19">
        <f>VLOOKUP(BP197,'Hazard Weighting Functions'!$B$5:$G$1205,4,FALSE)</f>
        <v>0.45700000000000002</v>
      </c>
      <c r="BS197" s="19">
        <f t="shared" si="223"/>
        <v>552202.23999999987</v>
      </c>
      <c r="BT197" s="19">
        <f t="shared" si="224"/>
        <v>2728898.9799999995</v>
      </c>
    </row>
    <row r="198" spans="2:72">
      <c r="B198">
        <v>745</v>
      </c>
      <c r="C198" s="36">
        <v>144.422</v>
      </c>
      <c r="E198">
        <v>745</v>
      </c>
      <c r="F198" s="36">
        <v>144.422</v>
      </c>
      <c r="H198" s="19">
        <v>745</v>
      </c>
      <c r="I198" s="36">
        <v>144.422</v>
      </c>
      <c r="K198">
        <v>1845</v>
      </c>
      <c r="L198" s="36">
        <f>571.108632*(1628/1602)</f>
        <v>580.37756110861426</v>
      </c>
      <c r="N198">
        <v>995</v>
      </c>
      <c r="O198" s="36">
        <v>1145192</v>
      </c>
      <c r="Q198" s="20">
        <v>875</v>
      </c>
      <c r="R198" s="37">
        <v>1206616</v>
      </c>
      <c r="V198">
        <f t="shared" si="208"/>
        <v>745</v>
      </c>
      <c r="W198">
        <f t="shared" si="209"/>
        <v>144.422</v>
      </c>
      <c r="Y198">
        <f t="shared" si="210"/>
        <v>745</v>
      </c>
      <c r="Z198">
        <f t="shared" si="211"/>
        <v>144.422</v>
      </c>
      <c r="AA198">
        <f>VLOOKUP(Y198,'Hazard Weighting Functions'!$B$5:$G$1205,2,FALSE)</f>
        <v>0</v>
      </c>
      <c r="AB198">
        <f t="shared" si="212"/>
        <v>0</v>
      </c>
      <c r="AC198">
        <f t="shared" si="213"/>
        <v>0</v>
      </c>
      <c r="AE198">
        <f>VLOOKUP(Y198,'Hazard Weighting Functions'!$B$5:$G$1205,3,FALSE)</f>
        <v>0</v>
      </c>
      <c r="AF198">
        <f t="shared" si="214"/>
        <v>0</v>
      </c>
      <c r="AG198">
        <f t="shared" si="215"/>
        <v>0</v>
      </c>
      <c r="AH198">
        <f>VLOOKUP(Y198,'Hazard Weighting Functions'!$B$5:$G$1205,5,FALSE)</f>
        <v>1.719E-4</v>
      </c>
      <c r="AI198">
        <f t="shared" si="216"/>
        <v>2.48261418E-2</v>
      </c>
      <c r="AJ198">
        <f t="shared" si="217"/>
        <v>0.1055734545</v>
      </c>
      <c r="AM198">
        <f t="shared" si="218"/>
        <v>723.62249999999995</v>
      </c>
      <c r="BF198" s="1"/>
      <c r="BG198" s="1"/>
      <c r="BK198" s="1">
        <f t="shared" si="204"/>
        <v>995</v>
      </c>
      <c r="BL198" s="20">
        <f t="shared" si="205"/>
        <v>1145192</v>
      </c>
      <c r="BM198">
        <f>VLOOKUP(BK198,'Hazard Weighting Functions'!$B$5:$G$1205,4,FALSE)</f>
        <v>0.25700000000000001</v>
      </c>
      <c r="BN198">
        <f t="shared" si="222"/>
        <v>294314.34399999998</v>
      </c>
      <c r="BO198" s="19">
        <f t="shared" si="246"/>
        <v>1451888.8599999999</v>
      </c>
      <c r="BP198" s="20">
        <f t="shared" si="206"/>
        <v>875</v>
      </c>
      <c r="BQ198" s="20">
        <f t="shared" si="206"/>
        <v>1206616</v>
      </c>
      <c r="BR198" s="19">
        <f>VLOOKUP(BP198,'Hazard Weighting Functions'!$B$5:$G$1205,4,FALSE)</f>
        <v>0.44700000000000001</v>
      </c>
      <c r="BS198" s="19">
        <f t="shared" si="223"/>
        <v>539357.35199999996</v>
      </c>
      <c r="BT198" s="19">
        <f t="shared" si="224"/>
        <v>2664523.7599999993</v>
      </c>
    </row>
    <row r="199" spans="2:72">
      <c r="B199">
        <v>750</v>
      </c>
      <c r="C199" s="36">
        <v>145.02699999999999</v>
      </c>
      <c r="E199">
        <v>750</v>
      </c>
      <c r="F199" s="36">
        <v>145.02699999999999</v>
      </c>
      <c r="H199" s="19">
        <v>750</v>
      </c>
      <c r="I199" s="36">
        <v>145.02699999999999</v>
      </c>
      <c r="K199">
        <v>1850</v>
      </c>
      <c r="L199" s="36">
        <f>566.887692*(1628/1602)</f>
        <v>576.0881164644195</v>
      </c>
      <c r="N199">
        <v>1000</v>
      </c>
      <c r="O199" s="36">
        <v>1141200</v>
      </c>
      <c r="Q199" s="20">
        <v>880</v>
      </c>
      <c r="R199" s="37">
        <v>1204695.9999999998</v>
      </c>
      <c r="V199">
        <f t="shared" si="208"/>
        <v>750</v>
      </c>
      <c r="W199">
        <f t="shared" si="209"/>
        <v>145.02699999999999</v>
      </c>
      <c r="Y199">
        <f t="shared" si="210"/>
        <v>750</v>
      </c>
      <c r="Z199">
        <f t="shared" si="211"/>
        <v>145.02699999999999</v>
      </c>
      <c r="AA199">
        <f>VLOOKUP(Y199,'Hazard Weighting Functions'!$B$5:$G$1205,2,FALSE)</f>
        <v>0</v>
      </c>
      <c r="AB199">
        <f t="shared" si="212"/>
        <v>0</v>
      </c>
      <c r="AC199">
        <f t="shared" si="213"/>
        <v>0</v>
      </c>
      <c r="AE199">
        <f>VLOOKUP(Y199,'Hazard Weighting Functions'!$B$5:$G$1205,3,FALSE)</f>
        <v>0</v>
      </c>
      <c r="AF199">
        <f t="shared" si="214"/>
        <v>0</v>
      </c>
      <c r="AG199">
        <f t="shared" si="215"/>
        <v>0</v>
      </c>
      <c r="AH199">
        <f>VLOOKUP(Y199,'Hazard Weighting Functions'!$B$5:$G$1205,5,FALSE)</f>
        <v>1.2E-4</v>
      </c>
      <c r="AI199">
        <f t="shared" si="216"/>
        <v>1.740324E-2</v>
      </c>
      <c r="AJ199">
        <f t="shared" si="217"/>
        <v>7.4402224000000003E-2</v>
      </c>
      <c r="AM199">
        <f t="shared" si="218"/>
        <v>726.88499999999999</v>
      </c>
      <c r="BF199" s="1"/>
      <c r="BG199" s="1"/>
      <c r="BK199" s="1">
        <f t="shared" si="204"/>
        <v>1000</v>
      </c>
      <c r="BL199" s="20">
        <f t="shared" si="205"/>
        <v>1141200</v>
      </c>
      <c r="BM199">
        <f>VLOOKUP(BK199,'Hazard Weighting Functions'!$B$5:$G$1205,4,FALSE)</f>
        <v>0.251</v>
      </c>
      <c r="BN199">
        <f t="shared" si="222"/>
        <v>286441.2</v>
      </c>
      <c r="BO199" s="19">
        <f t="shared" si="246"/>
        <v>1412530.2</v>
      </c>
      <c r="BP199" s="20">
        <f t="shared" si="206"/>
        <v>880</v>
      </c>
      <c r="BQ199" s="20">
        <f t="shared" si="206"/>
        <v>1204695.9999999998</v>
      </c>
      <c r="BR199" s="19">
        <f>VLOOKUP(BP199,'Hazard Weighting Functions'!$B$5:$G$1205,4,FALSE)</f>
        <v>0.437</v>
      </c>
      <c r="BS199" s="19">
        <f t="shared" si="223"/>
        <v>526452.15199999989</v>
      </c>
      <c r="BT199" s="19">
        <f t="shared" si="224"/>
        <v>2601673.6599999997</v>
      </c>
    </row>
    <row r="200" spans="2:72">
      <c r="B200">
        <v>755</v>
      </c>
      <c r="C200" s="36">
        <v>145.727</v>
      </c>
      <c r="E200">
        <v>755</v>
      </c>
      <c r="F200" s="36">
        <v>145.727</v>
      </c>
      <c r="H200" s="19">
        <v>755</v>
      </c>
      <c r="I200" s="36">
        <v>145.727</v>
      </c>
      <c r="K200">
        <v>1855</v>
      </c>
      <c r="L200" s="36">
        <f>562.697652*(1628/1602)</f>
        <v>571.83007331835199</v>
      </c>
      <c r="N200">
        <v>1005</v>
      </c>
      <c r="O200" s="36">
        <v>1137023.9999999998</v>
      </c>
      <c r="Q200" s="20">
        <v>885</v>
      </c>
      <c r="R200" s="37">
        <v>1204256</v>
      </c>
      <c r="V200">
        <f t="shared" si="208"/>
        <v>755</v>
      </c>
      <c r="W200">
        <f t="shared" si="209"/>
        <v>145.727</v>
      </c>
      <c r="Y200">
        <f t="shared" si="210"/>
        <v>755</v>
      </c>
      <c r="Z200">
        <f t="shared" si="211"/>
        <v>145.727</v>
      </c>
      <c r="AA200">
        <f>VLOOKUP(Y200,'Hazard Weighting Functions'!$B$5:$G$1205,2,FALSE)</f>
        <v>0</v>
      </c>
      <c r="AB200">
        <f t="shared" si="212"/>
        <v>0</v>
      </c>
      <c r="AC200">
        <f t="shared" si="213"/>
        <v>0</v>
      </c>
      <c r="AE200">
        <f>VLOOKUP(Y200,'Hazard Weighting Functions'!$B$5:$G$1205,3,FALSE)</f>
        <v>0</v>
      </c>
      <c r="AF200">
        <f t="shared" si="214"/>
        <v>0</v>
      </c>
      <c r="AG200">
        <f t="shared" si="215"/>
        <v>0</v>
      </c>
      <c r="AH200">
        <f>VLOOKUP(Y200,'Hazard Weighting Functions'!$B$5:$G$1205,5,FALSE)</f>
        <v>8.4800000000000001E-5</v>
      </c>
      <c r="AI200">
        <f t="shared" si="216"/>
        <v>1.2357649600000001E-2</v>
      </c>
      <c r="AJ200">
        <f t="shared" si="217"/>
        <v>5.2762324000000006E-2</v>
      </c>
      <c r="AM200">
        <f t="shared" si="218"/>
        <v>728.78749999999991</v>
      </c>
      <c r="BF200" s="1"/>
      <c r="BG200" s="1"/>
      <c r="BK200" s="1">
        <f t="shared" si="204"/>
        <v>1005</v>
      </c>
      <c r="BL200" s="20">
        <f t="shared" si="205"/>
        <v>1137023.9999999998</v>
      </c>
      <c r="BM200">
        <f>VLOOKUP(BK200,'Hazard Weighting Functions'!$B$5:$G$1205,4,FALSE)</f>
        <v>0.245</v>
      </c>
      <c r="BN200">
        <f t="shared" si="222"/>
        <v>278570.87999999995</v>
      </c>
      <c r="BO200" s="19">
        <f t="shared" si="246"/>
        <v>1376073.5999999999</v>
      </c>
      <c r="BP200" s="20">
        <f t="shared" si="206"/>
        <v>885</v>
      </c>
      <c r="BQ200" s="20">
        <f t="shared" si="206"/>
        <v>1204256</v>
      </c>
      <c r="BR200" s="19">
        <f>VLOOKUP(BP200,'Hazard Weighting Functions'!$B$5:$G$1205,4,FALSE)</f>
        <v>0.42699999999999999</v>
      </c>
      <c r="BS200" s="19">
        <f t="shared" si="223"/>
        <v>514217.31199999998</v>
      </c>
      <c r="BT200" s="19">
        <f t="shared" si="224"/>
        <v>2540312.96</v>
      </c>
    </row>
    <row r="201" spans="2:72">
      <c r="B201">
        <v>760</v>
      </c>
      <c r="C201" s="36">
        <v>145.78800000000001</v>
      </c>
      <c r="E201">
        <v>760</v>
      </c>
      <c r="F201" s="36">
        <v>145.78800000000001</v>
      </c>
      <c r="H201" s="19">
        <v>760</v>
      </c>
      <c r="I201" s="36">
        <v>145.78800000000001</v>
      </c>
      <c r="K201">
        <v>1860</v>
      </c>
      <c r="L201" s="36">
        <f>558.538512*(1628/1602)</f>
        <v>567.60343167041196</v>
      </c>
      <c r="N201">
        <v>1010</v>
      </c>
      <c r="O201" s="36">
        <v>1132743.9999999998</v>
      </c>
      <c r="Q201" s="20">
        <v>890</v>
      </c>
      <c r="R201" s="37">
        <v>1203616</v>
      </c>
      <c r="V201">
        <f t="shared" si="208"/>
        <v>760</v>
      </c>
      <c r="W201">
        <f t="shared" si="209"/>
        <v>145.78800000000001</v>
      </c>
      <c r="Y201">
        <f t="shared" si="210"/>
        <v>760</v>
      </c>
      <c r="Z201">
        <f t="shared" si="211"/>
        <v>145.78800000000001</v>
      </c>
      <c r="AA201">
        <f>VLOOKUP(Y201,'Hazard Weighting Functions'!$B$5:$G$1205,2,FALSE)</f>
        <v>0</v>
      </c>
      <c r="AB201">
        <f t="shared" si="212"/>
        <v>0</v>
      </c>
      <c r="AC201">
        <f t="shared" si="213"/>
        <v>0</v>
      </c>
      <c r="AE201">
        <f>VLOOKUP(Y201,'Hazard Weighting Functions'!$B$5:$G$1205,3,FALSE)</f>
        <v>0</v>
      </c>
      <c r="AF201">
        <f t="shared" si="214"/>
        <v>0</v>
      </c>
      <c r="AG201">
        <f t="shared" si="215"/>
        <v>0</v>
      </c>
      <c r="AH201">
        <f>VLOOKUP(Y201,'Hazard Weighting Functions'!$B$5:$G$1205,5,FALSE)</f>
        <v>6.0000000000000002E-5</v>
      </c>
      <c r="AI201">
        <f t="shared" si="216"/>
        <v>8.7472800000000014E-3</v>
      </c>
      <c r="AJ201">
        <f t="shared" si="217"/>
        <v>3.7435466000000008E-2</v>
      </c>
      <c r="AM201">
        <f t="shared" si="218"/>
        <v>731.62249999999995</v>
      </c>
      <c r="BF201" s="1"/>
      <c r="BG201" s="1"/>
      <c r="BK201" s="1">
        <f t="shared" si="204"/>
        <v>1010</v>
      </c>
      <c r="BL201" s="20">
        <f t="shared" si="205"/>
        <v>1132743.9999999998</v>
      </c>
      <c r="BM201">
        <f>VLOOKUP(BK201,'Hazard Weighting Functions'!$B$5:$G$1205,4,FALSE)</f>
        <v>0.24</v>
      </c>
      <c r="BN201">
        <f t="shared" si="222"/>
        <v>271858.55999999994</v>
      </c>
      <c r="BO201" s="19">
        <f t="shared" si="246"/>
        <v>1339741.6799999997</v>
      </c>
      <c r="BP201" s="20">
        <f t="shared" si="206"/>
        <v>890</v>
      </c>
      <c r="BQ201" s="20">
        <f t="shared" si="206"/>
        <v>1203616</v>
      </c>
      <c r="BR201" s="19">
        <f>VLOOKUP(BP201,'Hazard Weighting Functions'!$B$5:$G$1205,4,FALSE)</f>
        <v>0.41699999999999998</v>
      </c>
      <c r="BS201" s="19">
        <f t="shared" si="223"/>
        <v>501907.87199999997</v>
      </c>
      <c r="BT201" s="19">
        <f t="shared" si="224"/>
        <v>2478594.2599999998</v>
      </c>
    </row>
    <row r="202" spans="2:72">
      <c r="B202">
        <v>765</v>
      </c>
      <c r="C202" s="36">
        <v>146.86099999999999</v>
      </c>
      <c r="E202">
        <v>765</v>
      </c>
      <c r="F202" s="36">
        <v>146.86099999999999</v>
      </c>
      <c r="H202" s="19">
        <v>765</v>
      </c>
      <c r="I202" s="36">
        <v>146.86099999999999</v>
      </c>
      <c r="K202">
        <v>1865</v>
      </c>
      <c r="L202" s="36">
        <f>554.410272*(1628/1602)</f>
        <v>563.40819152059919</v>
      </c>
      <c r="N202">
        <v>1015</v>
      </c>
      <c r="O202" s="36">
        <v>1128367.9999999998</v>
      </c>
      <c r="Q202" s="20">
        <v>895</v>
      </c>
      <c r="R202" s="37">
        <v>1202776</v>
      </c>
      <c r="V202">
        <f t="shared" si="208"/>
        <v>765</v>
      </c>
      <c r="W202">
        <f t="shared" si="209"/>
        <v>146.86099999999999</v>
      </c>
      <c r="Y202">
        <f t="shared" si="210"/>
        <v>765</v>
      </c>
      <c r="Z202">
        <f t="shared" si="211"/>
        <v>146.86099999999999</v>
      </c>
      <c r="AA202">
        <f>VLOOKUP(Y202,'Hazard Weighting Functions'!$B$5:$G$1205,2,FALSE)</f>
        <v>0</v>
      </c>
      <c r="AB202">
        <f t="shared" si="212"/>
        <v>0</v>
      </c>
      <c r="AC202">
        <f t="shared" si="213"/>
        <v>0</v>
      </c>
      <c r="AE202">
        <f>VLOOKUP(Y202,'Hazard Weighting Functions'!$B$5:$G$1205,3,FALSE)</f>
        <v>0</v>
      </c>
      <c r="AF202">
        <f t="shared" si="214"/>
        <v>0</v>
      </c>
      <c r="AG202">
        <f t="shared" si="215"/>
        <v>0</v>
      </c>
      <c r="AH202">
        <f>VLOOKUP(Y202,'Hazard Weighting Functions'!$B$5:$G$1205,5,FALSE)</f>
        <v>4.2400000000000001E-5</v>
      </c>
      <c r="AI202">
        <f t="shared" si="216"/>
        <v>6.2269064000000001E-3</v>
      </c>
      <c r="AJ202">
        <f t="shared" si="217"/>
        <v>2.6610940999999999E-2</v>
      </c>
      <c r="AM202">
        <f t="shared" si="218"/>
        <v>735.27500000000009</v>
      </c>
      <c r="BF202" s="1"/>
      <c r="BG202" s="1"/>
      <c r="BK202" s="1">
        <f t="shared" si="204"/>
        <v>1015</v>
      </c>
      <c r="BL202" s="20">
        <f t="shared" si="205"/>
        <v>1128367.9999999998</v>
      </c>
      <c r="BM202">
        <f>VLOOKUP(BK202,'Hazard Weighting Functions'!$B$5:$G$1205,4,FALSE)</f>
        <v>0.23400000000000001</v>
      </c>
      <c r="BN202">
        <f t="shared" si="222"/>
        <v>264038.11199999996</v>
      </c>
      <c r="BO202" s="19">
        <f t="shared" si="246"/>
        <v>1303525.7399999998</v>
      </c>
      <c r="BP202" s="20">
        <f t="shared" si="206"/>
        <v>895</v>
      </c>
      <c r="BQ202" s="20">
        <f t="shared" si="206"/>
        <v>1202776</v>
      </c>
      <c r="BR202" s="19">
        <f>VLOOKUP(BP202,'Hazard Weighting Functions'!$B$5:$G$1205,4,FALSE)</f>
        <v>0.40699999999999997</v>
      </c>
      <c r="BS202" s="19">
        <f t="shared" si="223"/>
        <v>489529.83199999999</v>
      </c>
      <c r="BT202" s="19">
        <f t="shared" si="224"/>
        <v>2419559.86</v>
      </c>
    </row>
    <row r="203" spans="2:72">
      <c r="B203">
        <v>770</v>
      </c>
      <c r="C203" s="36">
        <v>147.249</v>
      </c>
      <c r="E203">
        <v>770</v>
      </c>
      <c r="F203" s="36">
        <v>147.249</v>
      </c>
      <c r="H203" s="19">
        <v>770</v>
      </c>
      <c r="I203" s="36">
        <v>147.249</v>
      </c>
      <c r="K203">
        <v>1870</v>
      </c>
      <c r="L203" s="36">
        <f>550.312932*(1628/1602)</f>
        <v>559.24435286891378</v>
      </c>
      <c r="N203">
        <v>1020</v>
      </c>
      <c r="O203" s="36">
        <v>1123895.9999999998</v>
      </c>
      <c r="Q203" s="20">
        <v>900</v>
      </c>
      <c r="R203" s="37">
        <v>1201743.9999999998</v>
      </c>
      <c r="V203">
        <f t="shared" si="208"/>
        <v>770</v>
      </c>
      <c r="W203">
        <f t="shared" si="209"/>
        <v>147.249</v>
      </c>
      <c r="Y203">
        <f t="shared" si="210"/>
        <v>770</v>
      </c>
      <c r="Z203">
        <f t="shared" si="211"/>
        <v>147.249</v>
      </c>
      <c r="AA203">
        <f>VLOOKUP(Y203,'Hazard Weighting Functions'!$B$5:$G$1205,2,FALSE)</f>
        <v>0</v>
      </c>
      <c r="AB203">
        <f t="shared" si="212"/>
        <v>0</v>
      </c>
      <c r="AC203">
        <f t="shared" si="213"/>
        <v>0</v>
      </c>
      <c r="AE203">
        <f>VLOOKUP(Y203,'Hazard Weighting Functions'!$B$5:$G$1205,3,FALSE)</f>
        <v>0</v>
      </c>
      <c r="AF203">
        <f t="shared" si="214"/>
        <v>0</v>
      </c>
      <c r="AG203">
        <f t="shared" si="215"/>
        <v>0</v>
      </c>
      <c r="AH203">
        <f>VLOOKUP(Y203,'Hazard Weighting Functions'!$B$5:$G$1205,5,FALSE)</f>
        <v>3.0000000000000001E-5</v>
      </c>
      <c r="AI203">
        <f t="shared" si="216"/>
        <v>4.4174699999999997E-3</v>
      </c>
      <c r="AJ203">
        <f t="shared" si="217"/>
        <v>1.8843048999999997E-2</v>
      </c>
      <c r="AM203">
        <f t="shared" si="218"/>
        <v>736.01749999999993</v>
      </c>
      <c r="BF203" s="1"/>
      <c r="BG203" s="1"/>
      <c r="BK203" s="1">
        <f t="shared" si="204"/>
        <v>1020</v>
      </c>
      <c r="BL203" s="20">
        <f t="shared" si="205"/>
        <v>1123895.9999999998</v>
      </c>
      <c r="BM203">
        <f>VLOOKUP(BK203,'Hazard Weighting Functions'!$B$5:$G$1205,4,FALSE)</f>
        <v>0.22900000000000001</v>
      </c>
      <c r="BN203">
        <f t="shared" si="222"/>
        <v>257372.18399999995</v>
      </c>
      <c r="BO203" s="19">
        <f t="shared" si="246"/>
        <v>1270258.6199999999</v>
      </c>
      <c r="BP203" s="20">
        <f t="shared" si="206"/>
        <v>900</v>
      </c>
      <c r="BQ203" s="20">
        <f t="shared" si="206"/>
        <v>1201743.9999999998</v>
      </c>
      <c r="BR203" s="19">
        <f>VLOOKUP(BP203,'Hazard Weighting Functions'!$B$5:$G$1205,4,FALSE)</f>
        <v>0.39800000000000002</v>
      </c>
      <c r="BS203" s="19">
        <f t="shared" si="223"/>
        <v>478294.11199999991</v>
      </c>
      <c r="BT203" s="19">
        <f t="shared" si="224"/>
        <v>2363240.98</v>
      </c>
    </row>
    <row r="204" spans="2:72">
      <c r="B204">
        <v>775</v>
      </c>
      <c r="C204" s="36">
        <v>147.15799999999999</v>
      </c>
      <c r="E204">
        <v>775</v>
      </c>
      <c r="F204" s="36">
        <v>147.15799999999999</v>
      </c>
      <c r="H204" s="19">
        <v>775</v>
      </c>
      <c r="I204" s="36">
        <v>147.15799999999999</v>
      </c>
      <c r="K204">
        <v>1875</v>
      </c>
      <c r="L204" s="36">
        <f>546.245256*(1628/1602)</f>
        <v>555.11065965543082</v>
      </c>
      <c r="N204">
        <v>1025</v>
      </c>
      <c r="O204" s="36">
        <v>1119336</v>
      </c>
      <c r="Q204" s="20">
        <v>905</v>
      </c>
      <c r="R204" s="37">
        <v>1200520</v>
      </c>
      <c r="V204">
        <f t="shared" si="208"/>
        <v>775</v>
      </c>
      <c r="W204">
        <f t="shared" si="209"/>
        <v>147.15799999999999</v>
      </c>
      <c r="Y204">
        <f t="shared" si="210"/>
        <v>775</v>
      </c>
      <c r="Z204">
        <f t="shared" si="211"/>
        <v>147.15799999999999</v>
      </c>
      <c r="AA204">
        <f>VLOOKUP(Y204,'Hazard Weighting Functions'!$B$5:$G$1205,2,FALSE)</f>
        <v>0</v>
      </c>
      <c r="AB204">
        <f t="shared" si="212"/>
        <v>0</v>
      </c>
      <c r="AC204">
        <f t="shared" si="213"/>
        <v>0</v>
      </c>
      <c r="AE204">
        <f>VLOOKUP(Y204,'Hazard Weighting Functions'!$B$5:$G$1205,3,FALSE)</f>
        <v>0</v>
      </c>
      <c r="AF204">
        <f t="shared" si="214"/>
        <v>0</v>
      </c>
      <c r="AG204">
        <f t="shared" si="215"/>
        <v>0</v>
      </c>
      <c r="AH204">
        <f>VLOOKUP(Y204,'Hazard Weighting Functions'!$B$5:$G$1205,5,FALSE)</f>
        <v>2.12E-5</v>
      </c>
      <c r="AI204">
        <f t="shared" si="216"/>
        <v>3.1197495999999996E-3</v>
      </c>
      <c r="AJ204">
        <f t="shared" si="217"/>
        <v>1.3323788600000001E-2</v>
      </c>
      <c r="AM204">
        <f t="shared" si="218"/>
        <v>736.43499999999995</v>
      </c>
      <c r="BF204" s="1"/>
      <c r="BG204" s="1"/>
      <c r="BK204" s="1">
        <f t="shared" si="204"/>
        <v>1025</v>
      </c>
      <c r="BL204" s="20">
        <f t="shared" si="205"/>
        <v>1119336</v>
      </c>
      <c r="BM204">
        <f>VLOOKUP(BK204,'Hazard Weighting Functions'!$B$5:$G$1205,4,FALSE)</f>
        <v>0.224</v>
      </c>
      <c r="BN204">
        <f t="shared" si="222"/>
        <v>250731.264</v>
      </c>
      <c r="BO204" s="19">
        <f t="shared" si="246"/>
        <v>1237119.8399999999</v>
      </c>
      <c r="BP204" s="20">
        <f t="shared" si="206"/>
        <v>905</v>
      </c>
      <c r="BQ204" s="20">
        <f t="shared" si="206"/>
        <v>1200520</v>
      </c>
      <c r="BR204" s="19">
        <f>VLOOKUP(BP204,'Hazard Weighting Functions'!$B$5:$G$1205,4,FALSE)</f>
        <v>0.38900000000000001</v>
      </c>
      <c r="BS204" s="19">
        <f t="shared" si="223"/>
        <v>467002.28</v>
      </c>
      <c r="BT204" s="19">
        <f t="shared" si="224"/>
        <v>2306654.5</v>
      </c>
    </row>
    <row r="205" spans="2:72">
      <c r="B205">
        <v>780</v>
      </c>
      <c r="C205" s="36">
        <v>147.416</v>
      </c>
      <c r="E205">
        <v>780</v>
      </c>
      <c r="F205" s="36">
        <v>147.416</v>
      </c>
      <c r="H205" s="19">
        <v>780</v>
      </c>
      <c r="I205" s="36">
        <v>147.416</v>
      </c>
      <c r="K205">
        <v>1880</v>
      </c>
      <c r="L205" s="36">
        <f>542.20848*(1628/1602)</f>
        <v>551.00836794007489</v>
      </c>
      <c r="N205">
        <v>1030</v>
      </c>
      <c r="O205" s="36">
        <v>1114688</v>
      </c>
      <c r="Q205" s="20">
        <v>910</v>
      </c>
      <c r="R205" s="37">
        <v>1199104</v>
      </c>
      <c r="V205">
        <f t="shared" si="208"/>
        <v>780</v>
      </c>
      <c r="W205">
        <f t="shared" si="209"/>
        <v>147.416</v>
      </c>
      <c r="Y205">
        <f t="shared" si="210"/>
        <v>780</v>
      </c>
      <c r="Z205">
        <f t="shared" si="211"/>
        <v>147.416</v>
      </c>
      <c r="AA205">
        <f>VLOOKUP(Y205,'Hazard Weighting Functions'!$B$5:$G$1205,2,FALSE)</f>
        <v>0</v>
      </c>
      <c r="AB205">
        <f t="shared" si="212"/>
        <v>0</v>
      </c>
      <c r="AC205">
        <f t="shared" si="213"/>
        <v>0</v>
      </c>
      <c r="AE205">
        <f>VLOOKUP(Y205,'Hazard Weighting Functions'!$B$5:$G$1205,3,FALSE)</f>
        <v>0</v>
      </c>
      <c r="AF205">
        <f t="shared" si="214"/>
        <v>0</v>
      </c>
      <c r="AG205">
        <f t="shared" si="215"/>
        <v>0</v>
      </c>
      <c r="AH205">
        <f>VLOOKUP(Y205,'Hazard Weighting Functions'!$B$5:$G$1205,5,FALSE)</f>
        <v>1.499E-5</v>
      </c>
      <c r="AI205">
        <f t="shared" si="216"/>
        <v>2.2097658399999999E-3</v>
      </c>
      <c r="AK205">
        <f t="shared" ref="AK205:AK268" si="247">0.5*(V206-V205)*(W205+W206)</f>
        <v>738.75749999999994</v>
      </c>
      <c r="AM205">
        <f t="shared" ref="AM205:AM268" si="248">0.5*(V206-V205)*(W205+W206)</f>
        <v>738.75749999999994</v>
      </c>
      <c r="BF205" s="1"/>
      <c r="BG205" s="1"/>
      <c r="BK205" s="1">
        <f t="shared" si="204"/>
        <v>1030</v>
      </c>
      <c r="BL205" s="20">
        <f t="shared" si="205"/>
        <v>1114688</v>
      </c>
      <c r="BM205">
        <f>VLOOKUP(BK205,'Hazard Weighting Functions'!$B$5:$G$1205,4,FALSE)</f>
        <v>0.219</v>
      </c>
      <c r="BN205">
        <f t="shared" si="222"/>
        <v>244116.67199999999</v>
      </c>
      <c r="BO205" s="19">
        <f t="shared" si="246"/>
        <v>1204120.2799999998</v>
      </c>
      <c r="BP205" s="20">
        <f t="shared" si="206"/>
        <v>910</v>
      </c>
      <c r="BQ205" s="20">
        <f t="shared" si="206"/>
        <v>1199104</v>
      </c>
      <c r="BR205" s="19">
        <f>VLOOKUP(BP205,'Hazard Weighting Functions'!$B$5:$G$1205,4,FALSE)</f>
        <v>0.38</v>
      </c>
      <c r="BS205" s="19">
        <f t="shared" si="223"/>
        <v>455659.52000000002</v>
      </c>
      <c r="BT205" s="19">
        <f t="shared" si="224"/>
        <v>2252834.96</v>
      </c>
    </row>
    <row r="206" spans="2:72">
      <c r="B206">
        <v>785</v>
      </c>
      <c r="C206" s="36">
        <v>148.08699999999999</v>
      </c>
      <c r="E206">
        <v>785</v>
      </c>
      <c r="F206" s="36">
        <v>148.08699999999999</v>
      </c>
      <c r="H206" s="19">
        <v>785</v>
      </c>
      <c r="I206" s="36">
        <v>148.08699999999999</v>
      </c>
      <c r="K206">
        <v>1885</v>
      </c>
      <c r="L206" s="36">
        <f>538.202604*(1628/1602)</f>
        <v>546.93747772284644</v>
      </c>
      <c r="N206">
        <v>1035</v>
      </c>
      <c r="O206" s="36">
        <v>1109960</v>
      </c>
      <c r="Q206" s="20">
        <v>915</v>
      </c>
      <c r="R206" s="37">
        <v>1197511.9999999998</v>
      </c>
      <c r="V206">
        <f t="shared" si="208"/>
        <v>785</v>
      </c>
      <c r="W206">
        <f t="shared" si="209"/>
        <v>148.08699999999999</v>
      </c>
      <c r="Y206">
        <f t="shared" si="210"/>
        <v>785</v>
      </c>
      <c r="Z206">
        <f t="shared" si="211"/>
        <v>148.08699999999999</v>
      </c>
      <c r="AA206">
        <f>VLOOKUP(Y206,'Hazard Weighting Functions'!$B$5:$G$1205,2,FALSE)</f>
        <v>0</v>
      </c>
      <c r="AB206">
        <f t="shared" si="212"/>
        <v>0</v>
      </c>
      <c r="AC206">
        <f t="shared" si="213"/>
        <v>0</v>
      </c>
      <c r="AE206">
        <f>VLOOKUP(Y206,'Hazard Weighting Functions'!$B$5:$G$1205,3,FALSE)</f>
        <v>0</v>
      </c>
      <c r="AF206">
        <f t="shared" si="214"/>
        <v>0</v>
      </c>
      <c r="AG206">
        <f t="shared" si="215"/>
        <v>0</v>
      </c>
      <c r="AH206">
        <f>VLOOKUP(Y206,'Hazard Weighting Functions'!$B$5:$G$1205,5,FALSE)</f>
        <v>0</v>
      </c>
      <c r="AI206">
        <f t="shared" si="216"/>
        <v>0</v>
      </c>
      <c r="AJ206">
        <f t="shared" si="217"/>
        <v>0</v>
      </c>
      <c r="AK206">
        <f t="shared" si="247"/>
        <v>741.61</v>
      </c>
      <c r="AM206">
        <f t="shared" si="248"/>
        <v>741.61</v>
      </c>
      <c r="BF206" s="1"/>
      <c r="BG206" s="1"/>
      <c r="BK206" s="1">
        <f t="shared" si="204"/>
        <v>1035</v>
      </c>
      <c r="BL206" s="20">
        <f t="shared" si="205"/>
        <v>1109960</v>
      </c>
      <c r="BM206">
        <f>VLOOKUP(BK206,'Hazard Weighting Functions'!$B$5:$G$1205,4,FALSE)</f>
        <v>0.214</v>
      </c>
      <c r="BN206">
        <f t="shared" si="222"/>
        <v>237531.44</v>
      </c>
      <c r="BO206" s="19">
        <f t="shared" si="246"/>
        <v>1171270.52</v>
      </c>
      <c r="BP206" s="20">
        <f t="shared" si="206"/>
        <v>915</v>
      </c>
      <c r="BQ206" s="20">
        <f t="shared" si="206"/>
        <v>1197511.9999999998</v>
      </c>
      <c r="BR206" s="19">
        <f>VLOOKUP(BP206,'Hazard Weighting Functions'!$B$5:$G$1205,4,FALSE)</f>
        <v>0.372</v>
      </c>
      <c r="BS206" s="19">
        <f t="shared" si="223"/>
        <v>445474.46399999992</v>
      </c>
      <c r="BT206" s="19">
        <f t="shared" si="224"/>
        <v>2198823.84</v>
      </c>
    </row>
    <row r="207" spans="2:72">
      <c r="B207">
        <v>790</v>
      </c>
      <c r="C207" s="36">
        <v>148.55699999999999</v>
      </c>
      <c r="E207">
        <v>790</v>
      </c>
      <c r="F207" s="36">
        <v>148.55699999999999</v>
      </c>
      <c r="H207" s="19">
        <v>790</v>
      </c>
      <c r="I207" s="36">
        <v>148.55699999999999</v>
      </c>
      <c r="K207">
        <v>1890</v>
      </c>
      <c r="L207" s="36">
        <f>534.225156*(1628/1602)</f>
        <v>542.89547688389507</v>
      </c>
      <c r="N207">
        <v>1040</v>
      </c>
      <c r="O207" s="36">
        <v>1105152</v>
      </c>
      <c r="Q207" s="20">
        <v>920</v>
      </c>
      <c r="R207" s="37">
        <v>1195743.9999999998</v>
      </c>
      <c r="V207">
        <f t="shared" si="208"/>
        <v>790</v>
      </c>
      <c r="W207">
        <f t="shared" si="209"/>
        <v>148.55699999999999</v>
      </c>
      <c r="Y207">
        <f t="shared" si="210"/>
        <v>790</v>
      </c>
      <c r="Z207">
        <f t="shared" si="211"/>
        <v>148.55699999999999</v>
      </c>
      <c r="AA207">
        <f>VLOOKUP(Y207,'Hazard Weighting Functions'!$B$5:$G$1205,2,FALSE)</f>
        <v>0</v>
      </c>
      <c r="AB207">
        <f t="shared" si="212"/>
        <v>0</v>
      </c>
      <c r="AC207">
        <f t="shared" si="213"/>
        <v>0</v>
      </c>
      <c r="AE207">
        <f>VLOOKUP(Y207,'Hazard Weighting Functions'!$B$5:$G$1205,3,FALSE)</f>
        <v>0</v>
      </c>
      <c r="AF207">
        <f t="shared" si="214"/>
        <v>0</v>
      </c>
      <c r="AG207">
        <f t="shared" si="215"/>
        <v>0</v>
      </c>
      <c r="AH207">
        <f>VLOOKUP(Y207,'Hazard Weighting Functions'!$B$5:$G$1205,5,FALSE)</f>
        <v>0</v>
      </c>
      <c r="AI207">
        <f t="shared" si="216"/>
        <v>0</v>
      </c>
      <c r="AJ207">
        <f t="shared" si="217"/>
        <v>0</v>
      </c>
      <c r="AK207">
        <f t="shared" si="247"/>
        <v>744.59249999999997</v>
      </c>
      <c r="AM207">
        <f t="shared" si="248"/>
        <v>744.59249999999997</v>
      </c>
      <c r="BF207" s="1"/>
      <c r="BG207" s="1"/>
      <c r="BK207" s="1">
        <f t="shared" si="204"/>
        <v>1040</v>
      </c>
      <c r="BL207" s="20">
        <f t="shared" si="205"/>
        <v>1105152</v>
      </c>
      <c r="BM207">
        <f>VLOOKUP(BK207,'Hazard Weighting Functions'!$B$5:$G$1205,4,FALSE)</f>
        <v>0.20899999999999999</v>
      </c>
      <c r="BN207">
        <f t="shared" si="222"/>
        <v>230976.76799999998</v>
      </c>
      <c r="BO207" s="19">
        <f t="shared" si="246"/>
        <v>1138576.5599999998</v>
      </c>
      <c r="BP207" s="20">
        <f t="shared" si="206"/>
        <v>920</v>
      </c>
      <c r="BQ207" s="20">
        <f t="shared" si="206"/>
        <v>1195743.9999999998</v>
      </c>
      <c r="BR207" s="19">
        <f>VLOOKUP(BP207,'Hazard Weighting Functions'!$B$5:$G$1205,4,FALSE)</f>
        <v>0.36299999999999999</v>
      </c>
      <c r="BS207" s="19">
        <f t="shared" si="223"/>
        <v>434055.07199999993</v>
      </c>
      <c r="BT207" s="19">
        <f t="shared" si="224"/>
        <v>2143520.48</v>
      </c>
    </row>
    <row r="208" spans="2:72">
      <c r="B208">
        <v>795</v>
      </c>
      <c r="C208" s="36">
        <v>149.28</v>
      </c>
      <c r="E208">
        <v>795</v>
      </c>
      <c r="F208" s="36">
        <v>149.28</v>
      </c>
      <c r="H208" s="19">
        <v>795</v>
      </c>
      <c r="I208" s="36">
        <v>149.28</v>
      </c>
      <c r="K208">
        <v>1895</v>
      </c>
      <c r="L208" s="36">
        <f>530.278608*(1628/1602)</f>
        <v>538.88487754307118</v>
      </c>
      <c r="N208">
        <v>1045</v>
      </c>
      <c r="O208" s="36">
        <v>1100263.9999999998</v>
      </c>
      <c r="Q208" s="20">
        <v>925</v>
      </c>
      <c r="R208" s="37">
        <v>1192544</v>
      </c>
      <c r="V208">
        <f t="shared" si="208"/>
        <v>795</v>
      </c>
      <c r="W208">
        <f t="shared" si="209"/>
        <v>149.28</v>
      </c>
      <c r="Y208">
        <f t="shared" si="210"/>
        <v>795</v>
      </c>
      <c r="Z208">
        <f t="shared" si="211"/>
        <v>149.28</v>
      </c>
      <c r="AA208">
        <f>VLOOKUP(Y208,'Hazard Weighting Functions'!$B$5:$G$1205,2,FALSE)</f>
        <v>0</v>
      </c>
      <c r="AB208">
        <f t="shared" si="212"/>
        <v>0</v>
      </c>
      <c r="AC208">
        <f t="shared" si="213"/>
        <v>0</v>
      </c>
      <c r="AE208">
        <f>VLOOKUP(Y208,'Hazard Weighting Functions'!$B$5:$G$1205,3,FALSE)</f>
        <v>0</v>
      </c>
      <c r="AF208">
        <f t="shared" si="214"/>
        <v>0</v>
      </c>
      <c r="AG208">
        <f t="shared" si="215"/>
        <v>0</v>
      </c>
      <c r="AH208">
        <f>VLOOKUP(Y208,'Hazard Weighting Functions'!$B$5:$G$1205,5,FALSE)</f>
        <v>0</v>
      </c>
      <c r="AI208">
        <f t="shared" si="216"/>
        <v>0</v>
      </c>
      <c r="AJ208">
        <f t="shared" si="217"/>
        <v>0</v>
      </c>
      <c r="AK208">
        <f t="shared" si="247"/>
        <v>746.20499999999993</v>
      </c>
      <c r="AM208">
        <f t="shared" si="248"/>
        <v>746.20499999999993</v>
      </c>
      <c r="BF208" s="1"/>
      <c r="BG208" s="1"/>
      <c r="BK208" s="1">
        <f t="shared" si="204"/>
        <v>1045</v>
      </c>
      <c r="BL208" s="20">
        <f t="shared" si="205"/>
        <v>1100263.9999999998</v>
      </c>
      <c r="BM208">
        <f>VLOOKUP(BK208,'Hazard Weighting Functions'!$B$5:$G$1205,4,FALSE)</f>
        <v>0.20399999999999999</v>
      </c>
      <c r="BN208">
        <f t="shared" si="222"/>
        <v>224453.85599999994</v>
      </c>
      <c r="BO208" s="19">
        <f t="shared" si="246"/>
        <v>1108786.6399999999</v>
      </c>
      <c r="BP208" s="20">
        <f t="shared" si="206"/>
        <v>925</v>
      </c>
      <c r="BQ208" s="20">
        <f t="shared" si="206"/>
        <v>1192544</v>
      </c>
      <c r="BR208" s="19">
        <f>VLOOKUP(BP208,'Hazard Weighting Functions'!$B$5:$G$1205,4,FALSE)</f>
        <v>0.35499999999999998</v>
      </c>
      <c r="BS208" s="19">
        <f t="shared" si="223"/>
        <v>423353.12</v>
      </c>
      <c r="BT208" s="19">
        <f t="shared" si="224"/>
        <v>2089992.9799999995</v>
      </c>
    </row>
    <row r="209" spans="2:72">
      <c r="B209">
        <v>800</v>
      </c>
      <c r="C209" s="36">
        <v>149.202</v>
      </c>
      <c r="E209">
        <v>800</v>
      </c>
      <c r="F209" s="36">
        <v>149.202</v>
      </c>
      <c r="H209" s="19">
        <v>800</v>
      </c>
      <c r="I209" s="36">
        <v>149.202</v>
      </c>
      <c r="K209">
        <v>1900</v>
      </c>
      <c r="L209" s="36">
        <f>526.360488*(1628/1602)</f>
        <v>534.90316758052427</v>
      </c>
      <c r="N209">
        <v>1050</v>
      </c>
      <c r="O209" s="36">
        <v>1095304</v>
      </c>
      <c r="Q209" s="20">
        <v>930</v>
      </c>
      <c r="R209" s="37">
        <v>1189175.9999999998</v>
      </c>
      <c r="V209">
        <f t="shared" si="208"/>
        <v>800</v>
      </c>
      <c r="W209">
        <f t="shared" si="209"/>
        <v>149.202</v>
      </c>
      <c r="Y209">
        <f t="shared" si="210"/>
        <v>800</v>
      </c>
      <c r="Z209">
        <f t="shared" si="211"/>
        <v>149.202</v>
      </c>
      <c r="AA209">
        <f>VLOOKUP(Y209,'Hazard Weighting Functions'!$B$5:$G$1205,2,FALSE)</f>
        <v>0</v>
      </c>
      <c r="AB209">
        <f t="shared" si="212"/>
        <v>0</v>
      </c>
      <c r="AC209">
        <f t="shared" si="213"/>
        <v>0</v>
      </c>
      <c r="AE209">
        <f>VLOOKUP(Y209,'Hazard Weighting Functions'!$B$5:$G$1205,3,FALSE)</f>
        <v>0</v>
      </c>
      <c r="AF209">
        <f t="shared" si="214"/>
        <v>0</v>
      </c>
      <c r="AG209">
        <f t="shared" si="215"/>
        <v>0</v>
      </c>
      <c r="AH209">
        <f>VLOOKUP(Y209,'Hazard Weighting Functions'!$B$5:$G$1205,5,FALSE)</f>
        <v>0</v>
      </c>
      <c r="AI209">
        <f t="shared" si="216"/>
        <v>0</v>
      </c>
      <c r="AJ209">
        <f t="shared" si="217"/>
        <v>0</v>
      </c>
      <c r="AK209">
        <f t="shared" si="247"/>
        <v>746.6825</v>
      </c>
      <c r="AM209">
        <f t="shared" si="248"/>
        <v>746.6825</v>
      </c>
      <c r="BF209" s="1"/>
      <c r="BG209" s="1"/>
      <c r="BK209" s="1">
        <f t="shared" si="204"/>
        <v>1050</v>
      </c>
      <c r="BL209" s="20">
        <f t="shared" si="205"/>
        <v>1095304</v>
      </c>
      <c r="BM209">
        <f>VLOOKUP(BK209,'Hazard Weighting Functions'!$B$5:$G$1205,4,FALSE)</f>
        <v>0.2</v>
      </c>
      <c r="BN209">
        <f t="shared" si="222"/>
        <v>219060.80000000002</v>
      </c>
      <c r="BO209" s="19">
        <f t="shared" si="246"/>
        <v>1092792</v>
      </c>
      <c r="BP209" s="20">
        <f t="shared" si="206"/>
        <v>930</v>
      </c>
      <c r="BQ209" s="20">
        <f t="shared" si="206"/>
        <v>1189175.9999999998</v>
      </c>
      <c r="BR209" s="19">
        <f>VLOOKUP(BP209,'Hazard Weighting Functions'!$B$5:$G$1205,4,FALSE)</f>
        <v>0.34699999999999998</v>
      </c>
      <c r="BS209" s="19">
        <f t="shared" si="223"/>
        <v>412644.07199999987</v>
      </c>
      <c r="BT209" s="19">
        <f t="shared" si="224"/>
        <v>2036446.8599999996</v>
      </c>
    </row>
    <row r="210" spans="2:72">
      <c r="B210">
        <v>805</v>
      </c>
      <c r="C210" s="36">
        <v>149.47100000000003</v>
      </c>
      <c r="E210">
        <v>805</v>
      </c>
      <c r="F210" s="36">
        <v>149.47100000000003</v>
      </c>
      <c r="H210" s="19">
        <v>805</v>
      </c>
      <c r="I210" s="36">
        <v>149.47100000000003</v>
      </c>
      <c r="K210">
        <v>1905</v>
      </c>
      <c r="L210" s="36">
        <f>522.473268*(1628/1602)</f>
        <v>530.95285911610483</v>
      </c>
      <c r="N210">
        <v>1055</v>
      </c>
      <c r="O210" s="36">
        <v>1090280</v>
      </c>
      <c r="Q210" s="20">
        <v>935</v>
      </c>
      <c r="R210" s="37">
        <v>1185647.9999999998</v>
      </c>
      <c r="V210">
        <f t="shared" si="208"/>
        <v>805</v>
      </c>
      <c r="W210">
        <f t="shared" si="209"/>
        <v>149.47100000000003</v>
      </c>
      <c r="Y210">
        <f t="shared" si="210"/>
        <v>805</v>
      </c>
      <c r="Z210">
        <f t="shared" si="211"/>
        <v>149.47100000000003</v>
      </c>
      <c r="AA210">
        <f>VLOOKUP(Y210,'Hazard Weighting Functions'!$B$5:$G$1205,2,FALSE)</f>
        <v>0</v>
      </c>
      <c r="AB210">
        <f t="shared" si="212"/>
        <v>0</v>
      </c>
      <c r="AC210">
        <f t="shared" si="213"/>
        <v>0</v>
      </c>
      <c r="AE210">
        <f>VLOOKUP(Y210,'Hazard Weighting Functions'!$B$5:$G$1205,3,FALSE)</f>
        <v>0</v>
      </c>
      <c r="AF210">
        <f t="shared" si="214"/>
        <v>0</v>
      </c>
      <c r="AG210">
        <f t="shared" si="215"/>
        <v>0</v>
      </c>
      <c r="AH210">
        <f>VLOOKUP(Y210,'Hazard Weighting Functions'!$B$5:$G$1205,5,FALSE)</f>
        <v>0</v>
      </c>
      <c r="AI210">
        <f t="shared" si="216"/>
        <v>0</v>
      </c>
      <c r="AJ210">
        <f t="shared" si="217"/>
        <v>0</v>
      </c>
      <c r="AK210">
        <f t="shared" si="247"/>
        <v>747.93750000000023</v>
      </c>
      <c r="AM210">
        <f t="shared" si="248"/>
        <v>747.93750000000023</v>
      </c>
      <c r="BF210" s="1"/>
      <c r="BG210" s="1"/>
      <c r="BK210" s="1">
        <f t="shared" si="204"/>
        <v>1055</v>
      </c>
      <c r="BL210" s="20">
        <f t="shared" si="205"/>
        <v>1090280</v>
      </c>
      <c r="BM210">
        <f>VLOOKUP(BK210,'Hazard Weighting Functions'!$B$5:$G$1205,4,FALSE)</f>
        <v>0.2</v>
      </c>
      <c r="BN210">
        <f t="shared" si="222"/>
        <v>218056</v>
      </c>
      <c r="BO210" s="19">
        <f t="shared" si="246"/>
        <v>1087732</v>
      </c>
      <c r="BP210" s="20">
        <f t="shared" si="206"/>
        <v>935</v>
      </c>
      <c r="BQ210" s="20">
        <f t="shared" si="206"/>
        <v>1185647.9999999998</v>
      </c>
      <c r="BR210" s="19">
        <f>VLOOKUP(BP210,'Hazard Weighting Functions'!$B$5:$G$1205,4,FALSE)</f>
        <v>0.33900000000000002</v>
      </c>
      <c r="BS210" s="19">
        <f t="shared" si="223"/>
        <v>401934.67199999996</v>
      </c>
      <c r="BT210" s="19">
        <f t="shared" si="224"/>
        <v>1982915.2</v>
      </c>
    </row>
    <row r="211" spans="2:72">
      <c r="B211">
        <v>810</v>
      </c>
      <c r="C211" s="36">
        <v>149.70400000000001</v>
      </c>
      <c r="E211">
        <v>810</v>
      </c>
      <c r="F211" s="36">
        <v>149.70400000000001</v>
      </c>
      <c r="H211" s="19">
        <v>810</v>
      </c>
      <c r="I211" s="36">
        <v>149.70400000000001</v>
      </c>
      <c r="K211">
        <v>1910</v>
      </c>
      <c r="L211" s="36">
        <f>518.614476*(1628/1602)</f>
        <v>527.03144002996248</v>
      </c>
      <c r="N211">
        <v>1060</v>
      </c>
      <c r="O211" s="36">
        <v>1085184</v>
      </c>
      <c r="Q211" s="20">
        <v>940</v>
      </c>
      <c r="R211" s="37">
        <v>1181968</v>
      </c>
      <c r="V211">
        <f t="shared" si="208"/>
        <v>810</v>
      </c>
      <c r="W211">
        <f t="shared" si="209"/>
        <v>149.70400000000001</v>
      </c>
      <c r="Y211">
        <f t="shared" si="210"/>
        <v>810</v>
      </c>
      <c r="Z211">
        <f t="shared" si="211"/>
        <v>149.70400000000001</v>
      </c>
      <c r="AA211">
        <f>VLOOKUP(Y211,'Hazard Weighting Functions'!$B$5:$G$1205,2,FALSE)</f>
        <v>0</v>
      </c>
      <c r="AB211">
        <f t="shared" si="212"/>
        <v>0</v>
      </c>
      <c r="AC211">
        <f t="shared" si="213"/>
        <v>0</v>
      </c>
      <c r="AE211">
        <f>VLOOKUP(Y211,'Hazard Weighting Functions'!$B$5:$G$1205,3,FALSE)</f>
        <v>0</v>
      </c>
      <c r="AF211">
        <f t="shared" si="214"/>
        <v>0</v>
      </c>
      <c r="AG211">
        <f t="shared" si="215"/>
        <v>0</v>
      </c>
      <c r="AH211">
        <f>VLOOKUP(Y211,'Hazard Weighting Functions'!$B$5:$G$1205,5,FALSE)</f>
        <v>0</v>
      </c>
      <c r="AI211">
        <f t="shared" si="216"/>
        <v>0</v>
      </c>
      <c r="AJ211">
        <f t="shared" si="217"/>
        <v>0</v>
      </c>
      <c r="AK211">
        <f t="shared" si="247"/>
        <v>749.0100000000001</v>
      </c>
      <c r="AM211">
        <f t="shared" si="248"/>
        <v>749.0100000000001</v>
      </c>
      <c r="BF211" s="1"/>
      <c r="BG211" s="1"/>
      <c r="BK211" s="1">
        <f t="shared" si="204"/>
        <v>1060</v>
      </c>
      <c r="BL211" s="20">
        <f t="shared" si="205"/>
        <v>1085184</v>
      </c>
      <c r="BM211">
        <f>VLOOKUP(BK211,'Hazard Weighting Functions'!$B$5:$G$1205,4,FALSE)</f>
        <v>0.2</v>
      </c>
      <c r="BN211">
        <f t="shared" si="222"/>
        <v>217036.80000000002</v>
      </c>
      <c r="BO211" s="19">
        <f t="shared" si="246"/>
        <v>1082604</v>
      </c>
      <c r="BP211" s="20">
        <f t="shared" si="206"/>
        <v>940</v>
      </c>
      <c r="BQ211" s="20">
        <f t="shared" si="206"/>
        <v>1181968</v>
      </c>
      <c r="BR211" s="19">
        <f>VLOOKUP(BP211,'Hazard Weighting Functions'!$B$5:$G$1205,4,FALSE)</f>
        <v>0.33100000000000002</v>
      </c>
      <c r="BS211" s="19">
        <f t="shared" si="223"/>
        <v>391231.408</v>
      </c>
      <c r="BT211" s="19">
        <f t="shared" si="224"/>
        <v>1934027.56</v>
      </c>
    </row>
    <row r="212" spans="2:72">
      <c r="B212">
        <v>815</v>
      </c>
      <c r="C212" s="36">
        <v>149.9</v>
      </c>
      <c r="E212">
        <v>815</v>
      </c>
      <c r="F212" s="36">
        <v>149.9</v>
      </c>
      <c r="H212" s="19">
        <v>815</v>
      </c>
      <c r="I212" s="36">
        <v>149.9</v>
      </c>
      <c r="K212">
        <v>1915</v>
      </c>
      <c r="L212" s="36">
        <f>514.784112*(1628/1602)</f>
        <v>523.13891032209744</v>
      </c>
      <c r="N212">
        <v>1065</v>
      </c>
      <c r="O212" s="36">
        <v>1080023.9999999998</v>
      </c>
      <c r="Q212" s="20">
        <v>945</v>
      </c>
      <c r="R212" s="37">
        <v>1180184</v>
      </c>
      <c r="V212">
        <f t="shared" si="208"/>
        <v>815</v>
      </c>
      <c r="W212">
        <f t="shared" si="209"/>
        <v>149.9</v>
      </c>
      <c r="Y212">
        <f t="shared" si="210"/>
        <v>815</v>
      </c>
      <c r="Z212">
        <f t="shared" si="211"/>
        <v>149.9</v>
      </c>
      <c r="AA212">
        <f>VLOOKUP(Y212,'Hazard Weighting Functions'!$B$5:$G$1205,2,FALSE)</f>
        <v>0</v>
      </c>
      <c r="AB212">
        <f t="shared" si="212"/>
        <v>0</v>
      </c>
      <c r="AC212">
        <f t="shared" si="213"/>
        <v>0</v>
      </c>
      <c r="AE212">
        <f>VLOOKUP(Y212,'Hazard Weighting Functions'!$B$5:$G$1205,3,FALSE)</f>
        <v>0</v>
      </c>
      <c r="AF212">
        <f t="shared" si="214"/>
        <v>0</v>
      </c>
      <c r="AG212">
        <f t="shared" si="215"/>
        <v>0</v>
      </c>
      <c r="AH212">
        <f>VLOOKUP(Y212,'Hazard Weighting Functions'!$B$5:$G$1205,5,FALSE)</f>
        <v>0</v>
      </c>
      <c r="AI212">
        <f t="shared" si="216"/>
        <v>0</v>
      </c>
      <c r="AJ212">
        <f t="shared" si="217"/>
        <v>0</v>
      </c>
      <c r="AK212">
        <f t="shared" si="247"/>
        <v>749.90000000000009</v>
      </c>
      <c r="AM212">
        <f t="shared" si="248"/>
        <v>749.90000000000009</v>
      </c>
      <c r="BF212" s="1"/>
      <c r="BG212" s="1"/>
      <c r="BK212" s="1">
        <f t="shared" si="204"/>
        <v>1065</v>
      </c>
      <c r="BL212" s="20">
        <f t="shared" si="205"/>
        <v>1080023.9999999998</v>
      </c>
      <c r="BM212">
        <f>VLOOKUP(BK212,'Hazard Weighting Functions'!$B$5:$G$1205,4,FALSE)</f>
        <v>0.2</v>
      </c>
      <c r="BN212">
        <f t="shared" si="222"/>
        <v>216004.79999999996</v>
      </c>
      <c r="BO212" s="19">
        <f t="shared" si="246"/>
        <v>1077416</v>
      </c>
      <c r="BP212" s="20">
        <f t="shared" si="206"/>
        <v>945</v>
      </c>
      <c r="BQ212" s="20">
        <f t="shared" si="206"/>
        <v>1180184</v>
      </c>
      <c r="BR212" s="19">
        <f>VLOOKUP(BP212,'Hazard Weighting Functions'!$B$5:$G$1205,4,FALSE)</f>
        <v>0.32400000000000001</v>
      </c>
      <c r="BS212" s="19">
        <f t="shared" si="223"/>
        <v>382379.61600000004</v>
      </c>
      <c r="BT212" s="19">
        <f t="shared" si="224"/>
        <v>1886771.2800000003</v>
      </c>
    </row>
    <row r="213" spans="2:72">
      <c r="B213">
        <v>820</v>
      </c>
      <c r="C213" s="36">
        <v>150.06</v>
      </c>
      <c r="E213">
        <v>820</v>
      </c>
      <c r="F213" s="36">
        <v>150.06</v>
      </c>
      <c r="H213" s="19">
        <v>820</v>
      </c>
      <c r="I213" s="36">
        <v>150.06</v>
      </c>
      <c r="K213">
        <v>1920</v>
      </c>
      <c r="L213" s="36">
        <f>510.983412*(1628/1602)</f>
        <v>519.27652605243452</v>
      </c>
      <c r="N213">
        <v>1070</v>
      </c>
      <c r="O213" s="36">
        <v>1074808</v>
      </c>
      <c r="Q213" s="20">
        <v>950</v>
      </c>
      <c r="R213" s="37">
        <v>1178256</v>
      </c>
      <c r="V213">
        <f t="shared" si="208"/>
        <v>820</v>
      </c>
      <c r="W213">
        <f t="shared" si="209"/>
        <v>150.06</v>
      </c>
      <c r="Y213">
        <f t="shared" si="210"/>
        <v>820</v>
      </c>
      <c r="Z213">
        <f t="shared" si="211"/>
        <v>150.06</v>
      </c>
      <c r="AA213">
        <f>VLOOKUP(Y213,'Hazard Weighting Functions'!$B$5:$G$1205,2,FALSE)</f>
        <v>0</v>
      </c>
      <c r="AB213">
        <f t="shared" si="212"/>
        <v>0</v>
      </c>
      <c r="AC213">
        <f t="shared" si="213"/>
        <v>0</v>
      </c>
      <c r="AE213">
        <f>VLOOKUP(Y213,'Hazard Weighting Functions'!$B$5:$G$1205,3,FALSE)</f>
        <v>0</v>
      </c>
      <c r="AF213">
        <f t="shared" si="214"/>
        <v>0</v>
      </c>
      <c r="AG213">
        <f t="shared" si="215"/>
        <v>0</v>
      </c>
      <c r="AH213">
        <f>VLOOKUP(Y213,'Hazard Weighting Functions'!$B$5:$G$1205,5,FALSE)</f>
        <v>0</v>
      </c>
      <c r="AI213">
        <f t="shared" si="216"/>
        <v>0</v>
      </c>
      <c r="AJ213">
        <f t="shared" si="217"/>
        <v>0</v>
      </c>
      <c r="AK213">
        <f t="shared" si="247"/>
        <v>750.92499999999995</v>
      </c>
      <c r="AM213">
        <f t="shared" si="248"/>
        <v>750.92499999999995</v>
      </c>
      <c r="BF213" s="1"/>
      <c r="BG213" s="1"/>
      <c r="BK213" s="1">
        <f t="shared" si="204"/>
        <v>1070</v>
      </c>
      <c r="BL213" s="20">
        <f t="shared" si="205"/>
        <v>1074808</v>
      </c>
      <c r="BM213">
        <f>VLOOKUP(BK213,'Hazard Weighting Functions'!$B$5:$G$1205,4,FALSE)</f>
        <v>0.2</v>
      </c>
      <c r="BN213">
        <f t="shared" si="222"/>
        <v>214961.6</v>
      </c>
      <c r="BO213" s="19">
        <f t="shared" si="246"/>
        <v>1072168</v>
      </c>
      <c r="BP213" s="20">
        <f t="shared" si="206"/>
        <v>950</v>
      </c>
      <c r="BQ213" s="20">
        <f t="shared" si="206"/>
        <v>1178256</v>
      </c>
      <c r="BR213" s="19">
        <f>VLOOKUP(BP213,'Hazard Weighting Functions'!$B$5:$G$1205,4,FALSE)</f>
        <v>0.316</v>
      </c>
      <c r="BS213" s="19">
        <f t="shared" si="223"/>
        <v>372328.89600000001</v>
      </c>
      <c r="BT213" s="19">
        <f t="shared" si="224"/>
        <v>1839424.38</v>
      </c>
    </row>
    <row r="214" spans="2:72">
      <c r="B214">
        <v>825</v>
      </c>
      <c r="C214" s="36">
        <v>150.31</v>
      </c>
      <c r="E214">
        <v>825</v>
      </c>
      <c r="F214" s="36">
        <v>150.31</v>
      </c>
      <c r="H214" s="19">
        <v>825</v>
      </c>
      <c r="I214" s="36">
        <v>150.31</v>
      </c>
      <c r="K214">
        <v>1925</v>
      </c>
      <c r="L214" s="36">
        <f>507.209904*(1628/1602)</f>
        <v>515.44177510112365</v>
      </c>
      <c r="N214">
        <v>1075</v>
      </c>
      <c r="O214" s="36">
        <v>1069528</v>
      </c>
      <c r="Q214" s="20">
        <v>955</v>
      </c>
      <c r="R214" s="37">
        <v>1176184</v>
      </c>
      <c r="V214">
        <f t="shared" si="208"/>
        <v>825</v>
      </c>
      <c r="W214">
        <f t="shared" si="209"/>
        <v>150.31</v>
      </c>
      <c r="Y214">
        <f t="shared" si="210"/>
        <v>825</v>
      </c>
      <c r="Z214">
        <f t="shared" si="211"/>
        <v>150.31</v>
      </c>
      <c r="AA214">
        <f>VLOOKUP(Y214,'Hazard Weighting Functions'!$B$5:$G$1205,2,FALSE)</f>
        <v>0</v>
      </c>
      <c r="AB214">
        <f t="shared" si="212"/>
        <v>0</v>
      </c>
      <c r="AC214">
        <f t="shared" si="213"/>
        <v>0</v>
      </c>
      <c r="AE214">
        <f>VLOOKUP(Y214,'Hazard Weighting Functions'!$B$5:$G$1205,3,FALSE)</f>
        <v>0</v>
      </c>
      <c r="AF214">
        <f t="shared" si="214"/>
        <v>0</v>
      </c>
      <c r="AG214">
        <f t="shared" si="215"/>
        <v>0</v>
      </c>
      <c r="AH214">
        <f>VLOOKUP(Y214,'Hazard Weighting Functions'!$B$5:$G$1205,5,FALSE)</f>
        <v>0</v>
      </c>
      <c r="AI214">
        <f t="shared" si="216"/>
        <v>0</v>
      </c>
      <c r="AJ214">
        <f t="shared" si="217"/>
        <v>0</v>
      </c>
      <c r="AK214">
        <f t="shared" si="247"/>
        <v>752.09</v>
      </c>
      <c r="AM214">
        <f t="shared" si="248"/>
        <v>752.09</v>
      </c>
      <c r="BF214" s="1"/>
      <c r="BG214" s="1"/>
      <c r="BK214" s="1">
        <f t="shared" si="204"/>
        <v>1075</v>
      </c>
      <c r="BL214" s="20">
        <f t="shared" si="205"/>
        <v>1069528</v>
      </c>
      <c r="BM214">
        <f>VLOOKUP(BK214,'Hazard Weighting Functions'!$B$5:$G$1205,4,FALSE)</f>
        <v>0.2</v>
      </c>
      <c r="BN214">
        <f t="shared" si="222"/>
        <v>213905.6</v>
      </c>
      <c r="BO214" s="19">
        <f t="shared" si="246"/>
        <v>1066860</v>
      </c>
      <c r="BP214" s="20">
        <f t="shared" si="206"/>
        <v>955</v>
      </c>
      <c r="BQ214" s="20">
        <f t="shared" si="206"/>
        <v>1176184</v>
      </c>
      <c r="BR214" s="19">
        <f>VLOOKUP(BP214,'Hazard Weighting Functions'!$B$5:$G$1205,4,FALSE)</f>
        <v>0.309</v>
      </c>
      <c r="BS214" s="19">
        <f t="shared" si="223"/>
        <v>363440.85599999997</v>
      </c>
      <c r="BT214" s="19">
        <f t="shared" si="224"/>
        <v>1794947.98</v>
      </c>
    </row>
    <row r="215" spans="2:72">
      <c r="B215">
        <v>830</v>
      </c>
      <c r="C215" s="36">
        <v>150.52600000000001</v>
      </c>
      <c r="E215">
        <v>830</v>
      </c>
      <c r="F215" s="36">
        <v>150.52600000000001</v>
      </c>
      <c r="H215" s="19">
        <v>830</v>
      </c>
      <c r="I215" s="36">
        <v>150.52600000000001</v>
      </c>
      <c r="K215">
        <v>1930</v>
      </c>
      <c r="L215" s="36">
        <f>503.46606*(1628/1602)</f>
        <v>511.63716958801496</v>
      </c>
      <c r="N215">
        <v>1080</v>
      </c>
      <c r="O215" s="36">
        <v>1064192</v>
      </c>
      <c r="Q215" s="20">
        <v>960</v>
      </c>
      <c r="R215" s="37">
        <v>1173968</v>
      </c>
      <c r="V215">
        <f t="shared" si="208"/>
        <v>830</v>
      </c>
      <c r="W215">
        <f t="shared" si="209"/>
        <v>150.52600000000001</v>
      </c>
      <c r="Y215">
        <f t="shared" si="210"/>
        <v>830</v>
      </c>
      <c r="Z215">
        <f t="shared" si="211"/>
        <v>150.52600000000001</v>
      </c>
      <c r="AA215">
        <f>VLOOKUP(Y215,'Hazard Weighting Functions'!$B$5:$G$1205,2,FALSE)</f>
        <v>0</v>
      </c>
      <c r="AB215">
        <f t="shared" si="212"/>
        <v>0</v>
      </c>
      <c r="AC215">
        <f t="shared" si="213"/>
        <v>0</v>
      </c>
      <c r="AE215">
        <f>VLOOKUP(Y215,'Hazard Weighting Functions'!$B$5:$G$1205,3,FALSE)</f>
        <v>0</v>
      </c>
      <c r="AF215">
        <f t="shared" si="214"/>
        <v>0</v>
      </c>
      <c r="AG215">
        <f t="shared" si="215"/>
        <v>0</v>
      </c>
      <c r="AH215">
        <f>VLOOKUP(Y215,'Hazard Weighting Functions'!$B$5:$G$1205,5,FALSE)</f>
        <v>0</v>
      </c>
      <c r="AI215">
        <f t="shared" si="216"/>
        <v>0</v>
      </c>
      <c r="AJ215">
        <f t="shared" si="217"/>
        <v>0</v>
      </c>
      <c r="AK215">
        <f t="shared" si="247"/>
        <v>753.08750000000009</v>
      </c>
      <c r="AM215">
        <f t="shared" si="248"/>
        <v>753.08750000000009</v>
      </c>
      <c r="BF215" s="1"/>
      <c r="BG215" s="1"/>
      <c r="BK215" s="1">
        <f t="shared" si="204"/>
        <v>1080</v>
      </c>
      <c r="BL215" s="20">
        <f t="shared" si="205"/>
        <v>1064192</v>
      </c>
      <c r="BM215">
        <f>VLOOKUP(BK215,'Hazard Weighting Functions'!$B$5:$G$1205,4,FALSE)</f>
        <v>0.2</v>
      </c>
      <c r="BN215">
        <f t="shared" si="222"/>
        <v>212838.40000000002</v>
      </c>
      <c r="BO215" s="19">
        <f t="shared" si="246"/>
        <v>1061500</v>
      </c>
      <c r="BP215" s="20">
        <f t="shared" si="206"/>
        <v>960</v>
      </c>
      <c r="BQ215" s="20">
        <f t="shared" si="206"/>
        <v>1173968</v>
      </c>
      <c r="BR215" s="19">
        <f>VLOOKUP(BP215,'Hazard Weighting Functions'!$B$5:$G$1205,4,FALSE)</f>
        <v>0.30199999999999999</v>
      </c>
      <c r="BS215" s="19">
        <f t="shared" si="223"/>
        <v>354538.33600000001</v>
      </c>
      <c r="BT215" s="19">
        <f t="shared" si="224"/>
        <v>1749061.5399999998</v>
      </c>
    </row>
    <row r="216" spans="2:72">
      <c r="B216">
        <v>835</v>
      </c>
      <c r="C216" s="36">
        <v>150.709</v>
      </c>
      <c r="E216">
        <v>835</v>
      </c>
      <c r="F216" s="36">
        <v>150.709</v>
      </c>
      <c r="H216" s="19">
        <v>835</v>
      </c>
      <c r="I216" s="36">
        <v>150.709</v>
      </c>
      <c r="K216">
        <v>1935</v>
      </c>
      <c r="L216" s="36">
        <f>499.749408*(1628/1602)</f>
        <v>507.86019739325843</v>
      </c>
      <c r="N216">
        <v>1085</v>
      </c>
      <c r="O216" s="36">
        <v>1058808</v>
      </c>
      <c r="Q216" s="20">
        <v>965</v>
      </c>
      <c r="R216" s="37">
        <v>1169784</v>
      </c>
      <c r="V216">
        <f t="shared" si="208"/>
        <v>835</v>
      </c>
      <c r="W216">
        <f t="shared" si="209"/>
        <v>150.709</v>
      </c>
      <c r="Y216">
        <f t="shared" si="210"/>
        <v>835</v>
      </c>
      <c r="Z216">
        <f t="shared" si="211"/>
        <v>150.709</v>
      </c>
      <c r="AA216">
        <f>VLOOKUP(Y216,'Hazard Weighting Functions'!$B$5:$G$1205,2,FALSE)</f>
        <v>0</v>
      </c>
      <c r="AB216">
        <f t="shared" si="212"/>
        <v>0</v>
      </c>
      <c r="AC216">
        <f t="shared" si="213"/>
        <v>0</v>
      </c>
      <c r="AE216">
        <f>VLOOKUP(Y216,'Hazard Weighting Functions'!$B$5:$G$1205,3,FALSE)</f>
        <v>0</v>
      </c>
      <c r="AF216">
        <f t="shared" si="214"/>
        <v>0</v>
      </c>
      <c r="AG216">
        <f t="shared" si="215"/>
        <v>0</v>
      </c>
      <c r="AH216">
        <f>VLOOKUP(Y216,'Hazard Weighting Functions'!$B$5:$G$1205,5,FALSE)</f>
        <v>0</v>
      </c>
      <c r="AI216">
        <f t="shared" si="216"/>
        <v>0</v>
      </c>
      <c r="AJ216">
        <f t="shared" si="217"/>
        <v>0</v>
      </c>
      <c r="AK216">
        <f t="shared" si="247"/>
        <v>753.92499999999995</v>
      </c>
      <c r="AM216">
        <f t="shared" si="248"/>
        <v>753.92499999999995</v>
      </c>
      <c r="BF216" s="1"/>
      <c r="BG216" s="1"/>
      <c r="BK216" s="1">
        <f t="shared" si="204"/>
        <v>1085</v>
      </c>
      <c r="BL216" s="20">
        <f t="shared" si="205"/>
        <v>1058808</v>
      </c>
      <c r="BM216">
        <f>VLOOKUP(BK216,'Hazard Weighting Functions'!$B$5:$G$1205,4,FALSE)</f>
        <v>0.2</v>
      </c>
      <c r="BN216">
        <f t="shared" si="222"/>
        <v>211761.6</v>
      </c>
      <c r="BO216" s="19">
        <f t="shared" si="246"/>
        <v>1056088</v>
      </c>
      <c r="BP216" s="20">
        <f t="shared" si="206"/>
        <v>965</v>
      </c>
      <c r="BQ216" s="20">
        <f t="shared" si="206"/>
        <v>1169784</v>
      </c>
      <c r="BR216" s="19">
        <f>VLOOKUP(BP216,'Hazard Weighting Functions'!$B$5:$G$1205,4,FALSE)</f>
        <v>0.29499999999999998</v>
      </c>
      <c r="BS216" s="19">
        <f t="shared" si="223"/>
        <v>345086.27999999997</v>
      </c>
      <c r="BT216" s="19">
        <f t="shared" si="224"/>
        <v>1701861.3</v>
      </c>
    </row>
    <row r="217" spans="2:72">
      <c r="B217">
        <v>840</v>
      </c>
      <c r="C217" s="36">
        <v>150.86099999999999</v>
      </c>
      <c r="E217">
        <v>840</v>
      </c>
      <c r="F217" s="36">
        <v>150.86099999999999</v>
      </c>
      <c r="H217" s="19">
        <v>840</v>
      </c>
      <c r="I217" s="36">
        <v>150.86099999999999</v>
      </c>
      <c r="K217">
        <v>1940</v>
      </c>
      <c r="L217" s="36">
        <f>496.061184*(1628/1602)</f>
        <v>504.11211457677899</v>
      </c>
      <c r="N217">
        <v>1090</v>
      </c>
      <c r="O217" s="36">
        <v>1053367.9999999998</v>
      </c>
      <c r="Q217" s="20">
        <v>970</v>
      </c>
      <c r="R217" s="37">
        <v>1165480</v>
      </c>
      <c r="V217">
        <f t="shared" si="208"/>
        <v>840</v>
      </c>
      <c r="W217">
        <f t="shared" si="209"/>
        <v>150.86099999999999</v>
      </c>
      <c r="Y217">
        <f t="shared" si="210"/>
        <v>840</v>
      </c>
      <c r="Z217">
        <f t="shared" si="211"/>
        <v>150.86099999999999</v>
      </c>
      <c r="AA217">
        <f>VLOOKUP(Y217,'Hazard Weighting Functions'!$B$5:$G$1205,2,FALSE)</f>
        <v>0</v>
      </c>
      <c r="AB217">
        <f t="shared" si="212"/>
        <v>0</v>
      </c>
      <c r="AC217">
        <f t="shared" si="213"/>
        <v>0</v>
      </c>
      <c r="AE217">
        <f>VLOOKUP(Y217,'Hazard Weighting Functions'!$B$5:$G$1205,3,FALSE)</f>
        <v>0</v>
      </c>
      <c r="AF217">
        <f t="shared" si="214"/>
        <v>0</v>
      </c>
      <c r="AG217">
        <f t="shared" si="215"/>
        <v>0</v>
      </c>
      <c r="AH217">
        <f>VLOOKUP(Y217,'Hazard Weighting Functions'!$B$5:$G$1205,5,FALSE)</f>
        <v>0</v>
      </c>
      <c r="AI217">
        <f t="shared" si="216"/>
        <v>0</v>
      </c>
      <c r="AJ217">
        <f t="shared" si="217"/>
        <v>0</v>
      </c>
      <c r="AK217">
        <f t="shared" si="247"/>
        <v>754.74249999999995</v>
      </c>
      <c r="AM217">
        <f t="shared" si="248"/>
        <v>754.74249999999995</v>
      </c>
      <c r="BF217" s="1"/>
      <c r="BG217" s="1"/>
      <c r="BK217" s="1">
        <f t="shared" si="204"/>
        <v>1090</v>
      </c>
      <c r="BL217" s="20">
        <f t="shared" si="205"/>
        <v>1053367.9999999998</v>
      </c>
      <c r="BM217">
        <f>VLOOKUP(BK217,'Hazard Weighting Functions'!$B$5:$G$1205,4,FALSE)</f>
        <v>0.2</v>
      </c>
      <c r="BN217">
        <f t="shared" si="222"/>
        <v>210673.59999999998</v>
      </c>
      <c r="BO217" s="19">
        <f t="shared" si="246"/>
        <v>1050628</v>
      </c>
      <c r="BP217" s="20">
        <f t="shared" si="206"/>
        <v>970</v>
      </c>
      <c r="BQ217" s="20">
        <f t="shared" si="206"/>
        <v>1165480</v>
      </c>
      <c r="BR217" s="19">
        <f>VLOOKUP(BP217,'Hazard Weighting Functions'!$B$5:$G$1205,4,FALSE)</f>
        <v>0.28799999999999998</v>
      </c>
      <c r="BS217" s="19">
        <f t="shared" si="223"/>
        <v>335658.23999999999</v>
      </c>
      <c r="BT217" s="19">
        <f t="shared" si="224"/>
        <v>1657684.44</v>
      </c>
    </row>
    <row r="218" spans="2:72">
      <c r="B218">
        <v>845</v>
      </c>
      <c r="C218" s="36">
        <v>151.036</v>
      </c>
      <c r="E218">
        <v>845</v>
      </c>
      <c r="F218" s="36">
        <v>151.036</v>
      </c>
      <c r="H218" s="19">
        <v>845</v>
      </c>
      <c r="I218" s="36">
        <v>151.036</v>
      </c>
      <c r="K218">
        <v>1945</v>
      </c>
      <c r="L218" s="36">
        <f>492.401388*(1628/1602)</f>
        <v>500.39292113857675</v>
      </c>
      <c r="N218">
        <v>1095</v>
      </c>
      <c r="O218" s="36">
        <v>1047887.9999999998</v>
      </c>
      <c r="Q218" s="20">
        <v>975</v>
      </c>
      <c r="R218" s="37">
        <v>1161048</v>
      </c>
      <c r="V218">
        <f t="shared" si="208"/>
        <v>845</v>
      </c>
      <c r="W218">
        <f t="shared" si="209"/>
        <v>151.036</v>
      </c>
      <c r="Y218">
        <f t="shared" si="210"/>
        <v>845</v>
      </c>
      <c r="Z218">
        <f t="shared" si="211"/>
        <v>151.036</v>
      </c>
      <c r="AA218">
        <f>VLOOKUP(Y218,'Hazard Weighting Functions'!$B$5:$G$1205,2,FALSE)</f>
        <v>0</v>
      </c>
      <c r="AB218">
        <f t="shared" si="212"/>
        <v>0</v>
      </c>
      <c r="AC218">
        <f t="shared" si="213"/>
        <v>0</v>
      </c>
      <c r="AE218">
        <f>VLOOKUP(Y218,'Hazard Weighting Functions'!$B$5:$G$1205,3,FALSE)</f>
        <v>0</v>
      </c>
      <c r="AF218">
        <f t="shared" si="214"/>
        <v>0</v>
      </c>
      <c r="AG218">
        <f t="shared" si="215"/>
        <v>0</v>
      </c>
      <c r="AH218">
        <f>VLOOKUP(Y218,'Hazard Weighting Functions'!$B$5:$G$1205,5,FALSE)</f>
        <v>0</v>
      </c>
      <c r="AI218">
        <f t="shared" si="216"/>
        <v>0</v>
      </c>
      <c r="AJ218">
        <f t="shared" si="217"/>
        <v>0</v>
      </c>
      <c r="AK218">
        <f t="shared" si="247"/>
        <v>755.54</v>
      </c>
      <c r="AM218">
        <f t="shared" si="248"/>
        <v>755.54</v>
      </c>
      <c r="BF218" s="1"/>
      <c r="BG218" s="1"/>
      <c r="BK218" s="1">
        <f t="shared" si="204"/>
        <v>1095</v>
      </c>
      <c r="BL218" s="20">
        <f t="shared" si="205"/>
        <v>1047887.9999999998</v>
      </c>
      <c r="BM218">
        <f>VLOOKUP(BK218,'Hazard Weighting Functions'!$B$5:$G$1205,4,FALSE)</f>
        <v>0.2</v>
      </c>
      <c r="BN218">
        <f t="shared" si="222"/>
        <v>209577.59999999998</v>
      </c>
      <c r="BO218" s="19">
        <f t="shared" si="246"/>
        <v>1045124</v>
      </c>
      <c r="BP218" s="20">
        <f t="shared" si="206"/>
        <v>975</v>
      </c>
      <c r="BQ218" s="20">
        <f t="shared" si="206"/>
        <v>1161048</v>
      </c>
      <c r="BR218" s="19">
        <f>VLOOKUP(BP218,'Hazard Weighting Functions'!$B$5:$G$1205,4,FALSE)</f>
        <v>0.28199999999999997</v>
      </c>
      <c r="BS218" s="19">
        <f t="shared" si="223"/>
        <v>327415.53599999996</v>
      </c>
      <c r="BT218" s="19">
        <f t="shared" si="224"/>
        <v>1613624.34</v>
      </c>
    </row>
    <row r="219" spans="2:72">
      <c r="B219">
        <v>850</v>
      </c>
      <c r="C219" s="36">
        <v>151.18</v>
      </c>
      <c r="E219">
        <v>850</v>
      </c>
      <c r="F219" s="36">
        <v>151.18</v>
      </c>
      <c r="H219" s="19">
        <v>850</v>
      </c>
      <c r="I219" s="36">
        <v>151.18</v>
      </c>
      <c r="K219">
        <v>1950</v>
      </c>
      <c r="L219" s="36">
        <f>488.768784*(1628/1602)</f>
        <v>496.70136101872669</v>
      </c>
      <c r="N219">
        <v>1100</v>
      </c>
      <c r="O219" s="36">
        <v>1042359.9999999998</v>
      </c>
      <c r="Q219" s="20">
        <v>980</v>
      </c>
      <c r="R219" s="37">
        <v>1156488</v>
      </c>
      <c r="V219">
        <f t="shared" si="208"/>
        <v>850</v>
      </c>
      <c r="W219">
        <f t="shared" si="209"/>
        <v>151.18</v>
      </c>
      <c r="Y219">
        <f t="shared" si="210"/>
        <v>850</v>
      </c>
      <c r="Z219">
        <f t="shared" si="211"/>
        <v>151.18</v>
      </c>
      <c r="AA219">
        <f>VLOOKUP(Y219,'Hazard Weighting Functions'!$B$5:$G$1205,2,FALSE)</f>
        <v>0</v>
      </c>
      <c r="AB219">
        <f t="shared" si="212"/>
        <v>0</v>
      </c>
      <c r="AC219">
        <f t="shared" si="213"/>
        <v>0</v>
      </c>
      <c r="AE219">
        <f>VLOOKUP(Y219,'Hazard Weighting Functions'!$B$5:$G$1205,3,FALSE)</f>
        <v>0</v>
      </c>
      <c r="AF219">
        <f t="shared" si="214"/>
        <v>0</v>
      </c>
      <c r="AG219">
        <f t="shared" si="215"/>
        <v>0</v>
      </c>
      <c r="AH219">
        <f>VLOOKUP(Y219,'Hazard Weighting Functions'!$B$5:$G$1205,5,FALSE)</f>
        <v>0</v>
      </c>
      <c r="AI219">
        <f t="shared" si="216"/>
        <v>0</v>
      </c>
      <c r="AJ219">
        <f t="shared" si="217"/>
        <v>0</v>
      </c>
      <c r="AK219">
        <f t="shared" si="247"/>
        <v>756.18500000000017</v>
      </c>
      <c r="AM219">
        <f t="shared" si="248"/>
        <v>756.18500000000017</v>
      </c>
      <c r="BF219" s="1"/>
      <c r="BG219" s="1"/>
      <c r="BK219" s="1">
        <f t="shared" si="204"/>
        <v>1100</v>
      </c>
      <c r="BL219" s="20">
        <f t="shared" si="205"/>
        <v>1042359.9999999998</v>
      </c>
      <c r="BM219">
        <f>VLOOKUP(BK219,'Hazard Weighting Functions'!$B$5:$G$1205,4,FALSE)</f>
        <v>0.2</v>
      </c>
      <c r="BN219">
        <f t="shared" si="222"/>
        <v>208471.99999999997</v>
      </c>
      <c r="BO219" s="19">
        <f t="shared" si="246"/>
        <v>1039667.9999999999</v>
      </c>
      <c r="BP219" s="20">
        <f t="shared" si="206"/>
        <v>980</v>
      </c>
      <c r="BQ219" s="20">
        <f t="shared" si="206"/>
        <v>1156488</v>
      </c>
      <c r="BR219" s="19">
        <f>VLOOKUP(BP219,'Hazard Weighting Functions'!$B$5:$G$1205,4,FALSE)</f>
        <v>0.27500000000000002</v>
      </c>
      <c r="BS219" s="19">
        <f t="shared" si="223"/>
        <v>318034.2</v>
      </c>
      <c r="BT219" s="19">
        <f t="shared" si="224"/>
        <v>1570370.4</v>
      </c>
    </row>
    <row r="220" spans="2:72">
      <c r="B220">
        <v>855</v>
      </c>
      <c r="C220" s="36">
        <v>151.29400000000001</v>
      </c>
      <c r="E220">
        <v>855</v>
      </c>
      <c r="F220" s="36">
        <v>151.29400000000001</v>
      </c>
      <c r="H220" s="19">
        <v>855</v>
      </c>
      <c r="I220" s="36">
        <v>151.29400000000001</v>
      </c>
      <c r="K220">
        <v>1955</v>
      </c>
      <c r="L220" s="36">
        <f>485.164608*(1628/1602)</f>
        <v>493.03869027715371</v>
      </c>
      <c r="N220">
        <v>1105</v>
      </c>
      <c r="O220" s="36">
        <v>1036976</v>
      </c>
      <c r="Q220" s="20">
        <v>985</v>
      </c>
      <c r="R220" s="37">
        <v>1152839.9999999998</v>
      </c>
      <c r="V220">
        <f t="shared" si="208"/>
        <v>855</v>
      </c>
      <c r="W220">
        <f t="shared" si="209"/>
        <v>151.29400000000001</v>
      </c>
      <c r="Y220">
        <f t="shared" si="210"/>
        <v>855</v>
      </c>
      <c r="Z220">
        <f t="shared" si="211"/>
        <v>151.29400000000001</v>
      </c>
      <c r="AA220">
        <f>VLOOKUP(Y220,'Hazard Weighting Functions'!$B$5:$G$1205,2,FALSE)</f>
        <v>0</v>
      </c>
      <c r="AB220">
        <f t="shared" si="212"/>
        <v>0</v>
      </c>
      <c r="AC220">
        <f t="shared" si="213"/>
        <v>0</v>
      </c>
      <c r="AE220">
        <f>VLOOKUP(Y220,'Hazard Weighting Functions'!$B$5:$G$1205,3,FALSE)</f>
        <v>0</v>
      </c>
      <c r="AF220">
        <f t="shared" si="214"/>
        <v>0</v>
      </c>
      <c r="AG220">
        <f t="shared" si="215"/>
        <v>0</v>
      </c>
      <c r="AH220">
        <f>VLOOKUP(Y220,'Hazard Weighting Functions'!$B$5:$G$1205,5,FALSE)</f>
        <v>0</v>
      </c>
      <c r="AI220">
        <f t="shared" si="216"/>
        <v>0</v>
      </c>
      <c r="AJ220">
        <f t="shared" si="217"/>
        <v>0</v>
      </c>
      <c r="AK220">
        <f t="shared" si="247"/>
        <v>756.6825</v>
      </c>
      <c r="AM220">
        <f t="shared" si="248"/>
        <v>756.6825</v>
      </c>
      <c r="BF220" s="1"/>
      <c r="BG220" s="1"/>
      <c r="BK220" s="1">
        <f t="shared" ref="BK220:BK279" si="249">N220</f>
        <v>1105</v>
      </c>
      <c r="BL220" s="20">
        <f t="shared" ref="BL220:BL279" si="250">O220</f>
        <v>1036976</v>
      </c>
      <c r="BM220">
        <f>VLOOKUP(BK220,'Hazard Weighting Functions'!$B$5:$G$1205,4,FALSE)</f>
        <v>0.2</v>
      </c>
      <c r="BN220">
        <f t="shared" si="222"/>
        <v>207395.20000000001</v>
      </c>
      <c r="BO220" s="19">
        <f t="shared" si="246"/>
        <v>1034264</v>
      </c>
      <c r="BP220" s="20">
        <f t="shared" ref="BP220:BQ273" si="251">Q220</f>
        <v>985</v>
      </c>
      <c r="BQ220" s="20">
        <f t="shared" si="251"/>
        <v>1152839.9999999998</v>
      </c>
      <c r="BR220" s="19">
        <f>VLOOKUP(BP220,'Hazard Weighting Functions'!$B$5:$G$1205,4,FALSE)</f>
        <v>0.26900000000000002</v>
      </c>
      <c r="BS220" s="19">
        <f t="shared" si="223"/>
        <v>310113.95999999996</v>
      </c>
      <c r="BT220" s="19">
        <f t="shared" si="224"/>
        <v>1530799.7399999998</v>
      </c>
    </row>
    <row r="221" spans="2:72">
      <c r="B221">
        <v>860</v>
      </c>
      <c r="C221" s="36">
        <v>151.37899999999999</v>
      </c>
      <c r="E221">
        <v>860</v>
      </c>
      <c r="F221" s="36">
        <v>151.37899999999999</v>
      </c>
      <c r="H221" s="19">
        <v>860</v>
      </c>
      <c r="I221" s="36">
        <v>151.37899999999999</v>
      </c>
      <c r="K221">
        <v>1960</v>
      </c>
      <c r="L221" s="36">
        <f>481.586388*(1628/1602)</f>
        <v>489.40239679400747</v>
      </c>
      <c r="N221">
        <v>1110</v>
      </c>
      <c r="O221" s="36">
        <v>1031551.9999999998</v>
      </c>
      <c r="Q221" s="20">
        <v>990</v>
      </c>
      <c r="R221" s="37">
        <v>1149071.9999999998</v>
      </c>
      <c r="V221">
        <f t="shared" si="208"/>
        <v>860</v>
      </c>
      <c r="W221">
        <f t="shared" si="209"/>
        <v>151.37899999999999</v>
      </c>
      <c r="Y221">
        <f t="shared" si="210"/>
        <v>860</v>
      </c>
      <c r="Z221">
        <f t="shared" si="211"/>
        <v>151.37899999999999</v>
      </c>
      <c r="AA221">
        <f>VLOOKUP(Y221,'Hazard Weighting Functions'!$B$5:$G$1205,2,FALSE)</f>
        <v>0</v>
      </c>
      <c r="AB221">
        <f t="shared" si="212"/>
        <v>0</v>
      </c>
      <c r="AC221">
        <f t="shared" si="213"/>
        <v>0</v>
      </c>
      <c r="AE221">
        <f>VLOOKUP(Y221,'Hazard Weighting Functions'!$B$5:$G$1205,3,FALSE)</f>
        <v>0</v>
      </c>
      <c r="AF221">
        <f t="shared" si="214"/>
        <v>0</v>
      </c>
      <c r="AG221">
        <f t="shared" si="215"/>
        <v>0</v>
      </c>
      <c r="AH221">
        <f>VLOOKUP(Y221,'Hazard Weighting Functions'!$B$5:$G$1205,5,FALSE)</f>
        <v>0</v>
      </c>
      <c r="AI221">
        <f t="shared" si="216"/>
        <v>0</v>
      </c>
      <c r="AJ221">
        <f t="shared" si="217"/>
        <v>0</v>
      </c>
      <c r="AK221">
        <f t="shared" si="247"/>
        <v>756.50749999999994</v>
      </c>
      <c r="AM221">
        <f t="shared" si="248"/>
        <v>756.50749999999994</v>
      </c>
      <c r="BF221" s="1"/>
      <c r="BG221" s="1"/>
      <c r="BK221" s="1">
        <f t="shared" si="249"/>
        <v>1110</v>
      </c>
      <c r="BL221" s="20">
        <f t="shared" si="250"/>
        <v>1031551.9999999998</v>
      </c>
      <c r="BM221">
        <f>VLOOKUP(BK221,'Hazard Weighting Functions'!$B$5:$G$1205,4,FALSE)</f>
        <v>0.2</v>
      </c>
      <c r="BN221">
        <f t="shared" si="222"/>
        <v>206310.39999999997</v>
      </c>
      <c r="BO221" s="19">
        <f t="shared" si="246"/>
        <v>1028824</v>
      </c>
      <c r="BP221" s="20">
        <f t="shared" si="251"/>
        <v>990</v>
      </c>
      <c r="BQ221" s="20">
        <f t="shared" si="251"/>
        <v>1149071.9999999998</v>
      </c>
      <c r="BR221" s="19">
        <f>VLOOKUP(BP221,'Hazard Weighting Functions'!$B$5:$G$1205,4,FALSE)</f>
        <v>0.26300000000000001</v>
      </c>
      <c r="BS221" s="19">
        <f t="shared" si="223"/>
        <v>302205.93599999993</v>
      </c>
      <c r="BT221" s="19">
        <f t="shared" si="224"/>
        <v>1491300.6999999997</v>
      </c>
    </row>
    <row r="222" spans="2:72">
      <c r="B222">
        <v>865</v>
      </c>
      <c r="C222" s="36">
        <v>151.22399999999999</v>
      </c>
      <c r="E222">
        <v>865</v>
      </c>
      <c r="F222" s="36">
        <v>151.22399999999999</v>
      </c>
      <c r="H222" s="19">
        <v>865</v>
      </c>
      <c r="I222" s="36">
        <v>151.22399999999999</v>
      </c>
      <c r="K222">
        <v>1965</v>
      </c>
      <c r="L222" s="36">
        <f>478.03536*(1628/1602)</f>
        <v>485.79373662921353</v>
      </c>
      <c r="N222">
        <v>1115</v>
      </c>
      <c r="O222" s="36">
        <v>1026096</v>
      </c>
      <c r="Q222" s="20">
        <v>995</v>
      </c>
      <c r="R222" s="37">
        <v>1145192</v>
      </c>
      <c r="V222">
        <f t="shared" ref="V222:V269" si="252">B222</f>
        <v>865</v>
      </c>
      <c r="W222">
        <f t="shared" ref="W222:W270" si="253">C222</f>
        <v>151.22399999999999</v>
      </c>
      <c r="Y222">
        <f t="shared" ref="Y222:Y269" si="254">V222</f>
        <v>865</v>
      </c>
      <c r="Z222">
        <f t="shared" ref="Z222:Z269" si="255">W222</f>
        <v>151.22399999999999</v>
      </c>
      <c r="AA222">
        <f>VLOOKUP(Y222,'Hazard Weighting Functions'!$B$5:$G$1205,2,FALSE)</f>
        <v>0</v>
      </c>
      <c r="AB222">
        <f t="shared" ref="AB222:AB229" si="256">Z222*AA222</f>
        <v>0</v>
      </c>
      <c r="AC222">
        <f t="shared" ref="AC222:AC229" si="257">0.5*(Y223-Y222)*(AB222+AB223)</f>
        <v>0</v>
      </c>
      <c r="AE222">
        <f>VLOOKUP(Y222,'Hazard Weighting Functions'!$B$5:$G$1205,3,FALSE)</f>
        <v>0</v>
      </c>
      <c r="AF222">
        <f t="shared" ref="AF222:AF229" si="258">AE222*Z222</f>
        <v>0</v>
      </c>
      <c r="AG222">
        <f t="shared" ref="AG222:AG229" si="259">0.5*(Y223-Y222)*(AF222+AF223)</f>
        <v>0</v>
      </c>
      <c r="AH222">
        <f>VLOOKUP(Y222,'Hazard Weighting Functions'!$B$5:$G$1205,5,FALSE)</f>
        <v>0</v>
      </c>
      <c r="AI222">
        <f t="shared" ref="AI222:AI229" si="260">AH222*Z222</f>
        <v>0</v>
      </c>
      <c r="AJ222">
        <f t="shared" ref="AJ222:AJ229" si="261">0.5*(Y223-Y222)*(AI222+AI223)</f>
        <v>0</v>
      </c>
      <c r="AK222">
        <f t="shared" si="247"/>
        <v>755.66000000000008</v>
      </c>
      <c r="AM222">
        <f t="shared" si="248"/>
        <v>755.66000000000008</v>
      </c>
      <c r="BF222" s="1"/>
      <c r="BG222" s="1"/>
      <c r="BK222" s="1">
        <f t="shared" si="249"/>
        <v>1115</v>
      </c>
      <c r="BL222" s="20">
        <f t="shared" si="250"/>
        <v>1026096</v>
      </c>
      <c r="BM222">
        <f>VLOOKUP(BK222,'Hazard Weighting Functions'!$B$5:$G$1205,4,FALSE)</f>
        <v>0.2</v>
      </c>
      <c r="BN222">
        <f t="shared" ref="BN222:BN279" si="262">BM222*BL222</f>
        <v>205219.20000000001</v>
      </c>
      <c r="BO222" s="19">
        <f t="shared" si="246"/>
        <v>1023348</v>
      </c>
      <c r="BP222" s="20">
        <f t="shared" si="251"/>
        <v>995</v>
      </c>
      <c r="BQ222" s="20">
        <f t="shared" si="251"/>
        <v>1145192</v>
      </c>
      <c r="BR222" s="19">
        <f>VLOOKUP(BP222,'Hazard Weighting Functions'!$B$5:$G$1205,4,FALSE)</f>
        <v>0.25700000000000001</v>
      </c>
      <c r="BS222" s="19">
        <f t="shared" ref="BS222:BS285" si="263">BR222*BQ222</f>
        <v>294314.34399999998</v>
      </c>
      <c r="BT222" s="19">
        <f t="shared" ref="BT222:BT285" si="264">0.5*(BP223-BP222)*(BS222+BS223)</f>
        <v>1451888.8599999999</v>
      </c>
    </row>
    <row r="223" spans="2:72">
      <c r="B223">
        <v>870</v>
      </c>
      <c r="C223" s="36">
        <v>151.04000000000002</v>
      </c>
      <c r="E223">
        <v>870</v>
      </c>
      <c r="F223" s="36">
        <v>151.04000000000002</v>
      </c>
      <c r="H223" s="19">
        <v>870</v>
      </c>
      <c r="I223" s="36">
        <v>151.04000000000002</v>
      </c>
      <c r="K223">
        <v>1970</v>
      </c>
      <c r="L223" s="36">
        <f>474.51276*(1628/1602)</f>
        <v>482.21396584269661</v>
      </c>
      <c r="N223">
        <v>1120</v>
      </c>
      <c r="O223" s="36">
        <v>1020600</v>
      </c>
      <c r="Q223" s="20">
        <v>1000</v>
      </c>
      <c r="R223" s="37">
        <v>1141200</v>
      </c>
      <c r="V223">
        <f t="shared" si="252"/>
        <v>870</v>
      </c>
      <c r="W223">
        <f t="shared" si="253"/>
        <v>151.04000000000002</v>
      </c>
      <c r="Y223">
        <f t="shared" si="254"/>
        <v>870</v>
      </c>
      <c r="Z223">
        <f t="shared" si="255"/>
        <v>151.04000000000002</v>
      </c>
      <c r="AA223">
        <f>VLOOKUP(Y223,'Hazard Weighting Functions'!$B$5:$G$1205,2,FALSE)</f>
        <v>0</v>
      </c>
      <c r="AB223">
        <f t="shared" si="256"/>
        <v>0</v>
      </c>
      <c r="AC223">
        <f t="shared" si="257"/>
        <v>0</v>
      </c>
      <c r="AE223">
        <f>VLOOKUP(Y223,'Hazard Weighting Functions'!$B$5:$G$1205,3,FALSE)</f>
        <v>0</v>
      </c>
      <c r="AF223">
        <f t="shared" si="258"/>
        <v>0</v>
      </c>
      <c r="AG223">
        <f t="shared" si="259"/>
        <v>0</v>
      </c>
      <c r="AH223">
        <f>VLOOKUP(Y223,'Hazard Weighting Functions'!$B$5:$G$1205,5,FALSE)</f>
        <v>0</v>
      </c>
      <c r="AI223">
        <f t="shared" si="260"/>
        <v>0</v>
      </c>
      <c r="AJ223">
        <f t="shared" si="261"/>
        <v>0</v>
      </c>
      <c r="AK223">
        <f t="shared" si="247"/>
        <v>754.66750000000002</v>
      </c>
      <c r="AM223">
        <f t="shared" si="248"/>
        <v>754.66750000000002</v>
      </c>
      <c r="BF223" s="1"/>
      <c r="BG223" s="1"/>
      <c r="BK223" s="1">
        <f t="shared" si="249"/>
        <v>1120</v>
      </c>
      <c r="BL223" s="20">
        <f t="shared" si="250"/>
        <v>1020600</v>
      </c>
      <c r="BM223">
        <f>VLOOKUP(BK223,'Hazard Weighting Functions'!$B$5:$G$1205,4,FALSE)</f>
        <v>0.2</v>
      </c>
      <c r="BN223">
        <f t="shared" si="262"/>
        <v>204120</v>
      </c>
      <c r="BO223" s="19">
        <f t="shared" si="246"/>
        <v>1017832.0000000001</v>
      </c>
      <c r="BP223" s="20">
        <f t="shared" si="251"/>
        <v>1000</v>
      </c>
      <c r="BQ223" s="20">
        <f t="shared" si="251"/>
        <v>1141200</v>
      </c>
      <c r="BR223" s="19">
        <f>VLOOKUP(BP223,'Hazard Weighting Functions'!$B$5:$G$1205,4,FALSE)</f>
        <v>0.251</v>
      </c>
      <c r="BS223" s="19">
        <f t="shared" si="263"/>
        <v>286441.2</v>
      </c>
      <c r="BT223" s="19">
        <f t="shared" si="264"/>
        <v>1412530.2</v>
      </c>
    </row>
    <row r="224" spans="2:72">
      <c r="B224">
        <v>875</v>
      </c>
      <c r="C224" s="36">
        <v>150.827</v>
      </c>
      <c r="E224">
        <v>875</v>
      </c>
      <c r="F224" s="36">
        <v>150.827</v>
      </c>
      <c r="H224" s="19">
        <v>875</v>
      </c>
      <c r="I224" s="36">
        <v>150.827</v>
      </c>
      <c r="K224">
        <v>1975</v>
      </c>
      <c r="L224" s="36">
        <f>471.01488*(1628/1602)</f>
        <v>478.65931625468164</v>
      </c>
      <c r="N224">
        <v>1125</v>
      </c>
      <c r="O224" s="36">
        <v>1015064</v>
      </c>
      <c r="Q224" s="20">
        <v>1005</v>
      </c>
      <c r="R224" s="37">
        <v>1137023.9999999998</v>
      </c>
      <c r="V224">
        <f t="shared" si="252"/>
        <v>875</v>
      </c>
      <c r="W224">
        <f t="shared" si="253"/>
        <v>150.827</v>
      </c>
      <c r="Y224">
        <f t="shared" si="254"/>
        <v>875</v>
      </c>
      <c r="Z224">
        <f t="shared" si="255"/>
        <v>150.827</v>
      </c>
      <c r="AA224">
        <f>VLOOKUP(Y224,'Hazard Weighting Functions'!$B$5:$G$1205,2,FALSE)</f>
        <v>0</v>
      </c>
      <c r="AB224">
        <f t="shared" si="256"/>
        <v>0</v>
      </c>
      <c r="AC224">
        <f t="shared" si="257"/>
        <v>0</v>
      </c>
      <c r="AE224">
        <f>VLOOKUP(Y224,'Hazard Weighting Functions'!$B$5:$G$1205,3,FALSE)</f>
        <v>0</v>
      </c>
      <c r="AF224">
        <f t="shared" si="258"/>
        <v>0</v>
      </c>
      <c r="AG224">
        <f t="shared" si="259"/>
        <v>0</v>
      </c>
      <c r="AH224">
        <f>VLOOKUP(Y224,'Hazard Weighting Functions'!$B$5:$G$1205,5,FALSE)</f>
        <v>0</v>
      </c>
      <c r="AI224">
        <f t="shared" si="260"/>
        <v>0</v>
      </c>
      <c r="AJ224">
        <f t="shared" si="261"/>
        <v>0</v>
      </c>
      <c r="AK224">
        <f t="shared" si="247"/>
        <v>753.53499999999997</v>
      </c>
      <c r="AM224">
        <f t="shared" si="248"/>
        <v>753.53499999999997</v>
      </c>
      <c r="BF224" s="1"/>
      <c r="BG224" s="1"/>
      <c r="BK224" s="1">
        <f t="shared" si="249"/>
        <v>1125</v>
      </c>
      <c r="BL224" s="20">
        <f t="shared" si="250"/>
        <v>1015064</v>
      </c>
      <c r="BM224">
        <f>VLOOKUP(BK224,'Hazard Weighting Functions'!$B$5:$G$1205,4,FALSE)</f>
        <v>0.2</v>
      </c>
      <c r="BN224">
        <f t="shared" si="262"/>
        <v>203012.80000000002</v>
      </c>
      <c r="BO224" s="19">
        <f t="shared" si="246"/>
        <v>1012280</v>
      </c>
      <c r="BP224" s="20">
        <f t="shared" si="251"/>
        <v>1005</v>
      </c>
      <c r="BQ224" s="20">
        <f t="shared" si="251"/>
        <v>1137023.9999999998</v>
      </c>
      <c r="BR224" s="19">
        <f>VLOOKUP(BP224,'Hazard Weighting Functions'!$B$5:$G$1205,4,FALSE)</f>
        <v>0.245</v>
      </c>
      <c r="BS224" s="19">
        <f t="shared" si="263"/>
        <v>278570.87999999995</v>
      </c>
      <c r="BT224" s="19">
        <f t="shared" si="264"/>
        <v>1376073.5999999999</v>
      </c>
    </row>
    <row r="225" spans="2:72">
      <c r="B225">
        <v>880</v>
      </c>
      <c r="C225" s="36">
        <v>150.58699999999999</v>
      </c>
      <c r="E225">
        <v>880</v>
      </c>
      <c r="F225" s="36">
        <v>150.58699999999999</v>
      </c>
      <c r="H225" s="19">
        <v>880</v>
      </c>
      <c r="I225" s="36">
        <v>150.58699999999999</v>
      </c>
      <c r="K225">
        <v>1980</v>
      </c>
      <c r="L225" s="36">
        <f>467.545428*(1628/1602)</f>
        <v>475.13355604494387</v>
      </c>
      <c r="N225">
        <v>1130</v>
      </c>
      <c r="O225" s="36">
        <v>1009496</v>
      </c>
      <c r="Q225" s="20">
        <v>1010</v>
      </c>
      <c r="R225" s="37">
        <v>1132743.9999999998</v>
      </c>
      <c r="V225">
        <f t="shared" si="252"/>
        <v>880</v>
      </c>
      <c r="W225">
        <f t="shared" si="253"/>
        <v>150.58699999999999</v>
      </c>
      <c r="Y225">
        <f t="shared" si="254"/>
        <v>880</v>
      </c>
      <c r="Z225">
        <f t="shared" si="255"/>
        <v>150.58699999999999</v>
      </c>
      <c r="AA225">
        <f>VLOOKUP(Y225,'Hazard Weighting Functions'!$B$5:$G$1205,2,FALSE)</f>
        <v>0</v>
      </c>
      <c r="AB225">
        <f t="shared" si="256"/>
        <v>0</v>
      </c>
      <c r="AC225">
        <f t="shared" si="257"/>
        <v>0</v>
      </c>
      <c r="AE225">
        <f>VLOOKUP(Y225,'Hazard Weighting Functions'!$B$5:$G$1205,3,FALSE)</f>
        <v>0</v>
      </c>
      <c r="AF225">
        <f t="shared" si="258"/>
        <v>0</v>
      </c>
      <c r="AG225">
        <f t="shared" si="259"/>
        <v>0</v>
      </c>
      <c r="AH225">
        <f>VLOOKUP(Y225,'Hazard Weighting Functions'!$B$5:$G$1205,5,FALSE)</f>
        <v>0</v>
      </c>
      <c r="AI225">
        <f t="shared" si="260"/>
        <v>0</v>
      </c>
      <c r="AJ225">
        <f t="shared" si="261"/>
        <v>0</v>
      </c>
      <c r="AK225">
        <f t="shared" si="247"/>
        <v>752.79750000000013</v>
      </c>
      <c r="AM225">
        <f t="shared" si="248"/>
        <v>752.79750000000013</v>
      </c>
      <c r="BF225" s="1"/>
      <c r="BG225" s="1"/>
      <c r="BK225" s="1">
        <f t="shared" si="249"/>
        <v>1130</v>
      </c>
      <c r="BL225" s="20">
        <f t="shared" si="250"/>
        <v>1009496</v>
      </c>
      <c r="BM225">
        <f>VLOOKUP(BK225,'Hazard Weighting Functions'!$B$5:$G$1205,4,FALSE)</f>
        <v>0.2</v>
      </c>
      <c r="BN225">
        <f t="shared" si="262"/>
        <v>201899.2</v>
      </c>
      <c r="BO225" s="19">
        <f t="shared" si="246"/>
        <v>1006700</v>
      </c>
      <c r="BP225" s="20">
        <f t="shared" si="251"/>
        <v>1010</v>
      </c>
      <c r="BQ225" s="20">
        <f t="shared" si="251"/>
        <v>1132743.9999999998</v>
      </c>
      <c r="BR225" s="19">
        <f>VLOOKUP(BP225,'Hazard Weighting Functions'!$B$5:$G$1205,4,FALSE)</f>
        <v>0.24</v>
      </c>
      <c r="BS225" s="19">
        <f t="shared" si="263"/>
        <v>271858.55999999994</v>
      </c>
      <c r="BT225" s="19">
        <f t="shared" si="264"/>
        <v>1339741.6799999997</v>
      </c>
    </row>
    <row r="226" spans="2:72">
      <c r="B226">
        <v>885</v>
      </c>
      <c r="C226" s="36">
        <v>150.53200000000004</v>
      </c>
      <c r="E226">
        <v>885</v>
      </c>
      <c r="F226" s="36">
        <v>150.53200000000004</v>
      </c>
      <c r="H226" s="19">
        <v>885</v>
      </c>
      <c r="I226" s="36">
        <v>150.53200000000004</v>
      </c>
      <c r="K226">
        <v>1985</v>
      </c>
      <c r="L226" s="36">
        <f>464.100696*(1628/1602)</f>
        <v>471.63291703370783</v>
      </c>
      <c r="N226">
        <v>1135</v>
      </c>
      <c r="O226" s="36">
        <v>1003904</v>
      </c>
      <c r="Q226" s="20">
        <v>1015</v>
      </c>
      <c r="R226" s="37">
        <v>1128367.9999999998</v>
      </c>
      <c r="V226">
        <f t="shared" si="252"/>
        <v>885</v>
      </c>
      <c r="W226">
        <f t="shared" si="253"/>
        <v>150.53200000000004</v>
      </c>
      <c r="Y226">
        <f t="shared" si="254"/>
        <v>885</v>
      </c>
      <c r="Z226">
        <f t="shared" si="255"/>
        <v>150.53200000000004</v>
      </c>
      <c r="AA226">
        <f>VLOOKUP(Y226,'Hazard Weighting Functions'!$B$5:$G$1205,2,FALSE)</f>
        <v>0</v>
      </c>
      <c r="AB226">
        <f t="shared" si="256"/>
        <v>0</v>
      </c>
      <c r="AC226">
        <f t="shared" si="257"/>
        <v>0</v>
      </c>
      <c r="AE226">
        <f>VLOOKUP(Y226,'Hazard Weighting Functions'!$B$5:$G$1205,3,FALSE)</f>
        <v>0</v>
      </c>
      <c r="AF226">
        <f t="shared" si="258"/>
        <v>0</v>
      </c>
      <c r="AG226">
        <f t="shared" si="259"/>
        <v>0</v>
      </c>
      <c r="AH226">
        <f>VLOOKUP(Y226,'Hazard Weighting Functions'!$B$5:$G$1205,5,FALSE)</f>
        <v>0</v>
      </c>
      <c r="AI226">
        <f t="shared" si="260"/>
        <v>0</v>
      </c>
      <c r="AJ226">
        <f t="shared" si="261"/>
        <v>0</v>
      </c>
      <c r="AK226">
        <f t="shared" si="247"/>
        <v>752.46</v>
      </c>
      <c r="AM226">
        <f t="shared" si="248"/>
        <v>752.46</v>
      </c>
      <c r="BF226" s="1"/>
      <c r="BG226" s="1"/>
      <c r="BK226" s="1">
        <f t="shared" si="249"/>
        <v>1135</v>
      </c>
      <c r="BL226" s="20">
        <f t="shared" si="250"/>
        <v>1003904</v>
      </c>
      <c r="BM226">
        <f>VLOOKUP(BK226,'Hazard Weighting Functions'!$B$5:$G$1205,4,FALSE)</f>
        <v>0.2</v>
      </c>
      <c r="BN226">
        <f t="shared" si="262"/>
        <v>200780.80000000002</v>
      </c>
      <c r="BO226" s="19">
        <f t="shared" si="246"/>
        <v>1001092.0000000001</v>
      </c>
      <c r="BP226" s="20">
        <f t="shared" si="251"/>
        <v>1015</v>
      </c>
      <c r="BQ226" s="20">
        <f t="shared" si="251"/>
        <v>1128367.9999999998</v>
      </c>
      <c r="BR226" s="19">
        <f>VLOOKUP(BP226,'Hazard Weighting Functions'!$B$5:$G$1205,4,FALSE)</f>
        <v>0.23400000000000001</v>
      </c>
      <c r="BS226" s="19">
        <f t="shared" si="263"/>
        <v>264038.11199999996</v>
      </c>
      <c r="BT226" s="19">
        <f t="shared" si="264"/>
        <v>1303525.7399999998</v>
      </c>
    </row>
    <row r="227" spans="2:72">
      <c r="B227">
        <v>890</v>
      </c>
      <c r="C227" s="36">
        <v>150.452</v>
      </c>
      <c r="E227">
        <v>890</v>
      </c>
      <c r="F227" s="36">
        <v>150.452</v>
      </c>
      <c r="H227" s="19">
        <v>890</v>
      </c>
      <c r="I227" s="36">
        <v>150.452</v>
      </c>
      <c r="K227">
        <v>1990</v>
      </c>
      <c r="L227" s="36">
        <f>460.683156*(1628/1602)</f>
        <v>468.15991134082401</v>
      </c>
      <c r="N227">
        <v>1140</v>
      </c>
      <c r="O227" s="36">
        <v>998280</v>
      </c>
      <c r="Q227" s="20">
        <v>1020</v>
      </c>
      <c r="R227" s="37">
        <v>1123895.9999999998</v>
      </c>
      <c r="V227">
        <f t="shared" si="252"/>
        <v>890</v>
      </c>
      <c r="W227">
        <f t="shared" si="253"/>
        <v>150.452</v>
      </c>
      <c r="Y227">
        <f t="shared" si="254"/>
        <v>890</v>
      </c>
      <c r="Z227">
        <f t="shared" si="255"/>
        <v>150.452</v>
      </c>
      <c r="AA227">
        <f>VLOOKUP(Y227,'Hazard Weighting Functions'!$B$5:$G$1205,2,FALSE)</f>
        <v>0</v>
      </c>
      <c r="AB227">
        <f t="shared" si="256"/>
        <v>0</v>
      </c>
      <c r="AC227">
        <f t="shared" si="257"/>
        <v>0</v>
      </c>
      <c r="AE227">
        <f>VLOOKUP(Y227,'Hazard Weighting Functions'!$B$5:$G$1205,3,FALSE)</f>
        <v>0</v>
      </c>
      <c r="AF227">
        <f t="shared" si="258"/>
        <v>0</v>
      </c>
      <c r="AG227">
        <f t="shared" si="259"/>
        <v>0</v>
      </c>
      <c r="AH227">
        <f>VLOOKUP(Y227,'Hazard Weighting Functions'!$B$5:$G$1205,5,FALSE)</f>
        <v>0</v>
      </c>
      <c r="AI227">
        <f t="shared" si="260"/>
        <v>0</v>
      </c>
      <c r="AJ227">
        <f t="shared" si="261"/>
        <v>0</v>
      </c>
      <c r="AK227">
        <f t="shared" si="247"/>
        <v>751.99749999999995</v>
      </c>
      <c r="AM227">
        <f t="shared" si="248"/>
        <v>751.99749999999995</v>
      </c>
      <c r="BF227" s="1"/>
      <c r="BG227" s="1"/>
      <c r="BK227" s="1">
        <f t="shared" si="249"/>
        <v>1140</v>
      </c>
      <c r="BL227" s="20">
        <f t="shared" si="250"/>
        <v>998280</v>
      </c>
      <c r="BM227">
        <f>VLOOKUP(BK227,'Hazard Weighting Functions'!$B$5:$G$1205,4,FALSE)</f>
        <v>0.2</v>
      </c>
      <c r="BN227">
        <f t="shared" si="262"/>
        <v>199656</v>
      </c>
      <c r="BO227" s="19">
        <f t="shared" si="246"/>
        <v>995455.99999999988</v>
      </c>
      <c r="BP227" s="20">
        <f t="shared" si="251"/>
        <v>1020</v>
      </c>
      <c r="BQ227" s="20">
        <f t="shared" si="251"/>
        <v>1123895.9999999998</v>
      </c>
      <c r="BR227" s="19">
        <f>VLOOKUP(BP227,'Hazard Weighting Functions'!$B$5:$G$1205,4,FALSE)</f>
        <v>0.22900000000000001</v>
      </c>
      <c r="BS227" s="19">
        <f t="shared" si="263"/>
        <v>257372.18399999995</v>
      </c>
      <c r="BT227" s="19">
        <f t="shared" si="264"/>
        <v>1270258.6199999999</v>
      </c>
    </row>
    <row r="228" spans="2:72">
      <c r="B228">
        <v>895</v>
      </c>
      <c r="C228" s="36">
        <v>150.34700000000001</v>
      </c>
      <c r="E228">
        <v>895</v>
      </c>
      <c r="F228" s="36">
        <v>150.34700000000001</v>
      </c>
      <c r="H228" s="19">
        <v>895</v>
      </c>
      <c r="I228" s="36">
        <v>150.34700000000001</v>
      </c>
      <c r="K228">
        <v>1995</v>
      </c>
      <c r="L228" s="36">
        <f>457.291572*(1628/1602)</f>
        <v>464.71328290636706</v>
      </c>
      <c r="N228">
        <v>1145</v>
      </c>
      <c r="O228" s="36">
        <v>992631.99999999977</v>
      </c>
      <c r="Q228" s="20">
        <v>1025</v>
      </c>
      <c r="R228" s="37">
        <v>1119336</v>
      </c>
      <c r="V228">
        <f t="shared" si="252"/>
        <v>895</v>
      </c>
      <c r="W228">
        <f t="shared" si="253"/>
        <v>150.34700000000001</v>
      </c>
      <c r="Y228">
        <f t="shared" si="254"/>
        <v>895</v>
      </c>
      <c r="Z228">
        <f t="shared" si="255"/>
        <v>150.34700000000001</v>
      </c>
      <c r="AA228">
        <f>VLOOKUP(Y228,'Hazard Weighting Functions'!$B$5:$G$1205,2,FALSE)</f>
        <v>0</v>
      </c>
      <c r="AB228">
        <f t="shared" si="256"/>
        <v>0</v>
      </c>
      <c r="AC228">
        <f t="shared" si="257"/>
        <v>0</v>
      </c>
      <c r="AE228">
        <f>VLOOKUP(Y228,'Hazard Weighting Functions'!$B$5:$G$1205,3,FALSE)</f>
        <v>0</v>
      </c>
      <c r="AF228">
        <f t="shared" si="258"/>
        <v>0</v>
      </c>
      <c r="AG228">
        <f t="shared" si="259"/>
        <v>0</v>
      </c>
      <c r="AH228">
        <f>VLOOKUP(Y228,'Hazard Weighting Functions'!$B$5:$G$1205,5,FALSE)</f>
        <v>0</v>
      </c>
      <c r="AI228">
        <f t="shared" si="260"/>
        <v>0</v>
      </c>
      <c r="AJ228">
        <f t="shared" si="261"/>
        <v>0</v>
      </c>
      <c r="AK228">
        <f t="shared" si="247"/>
        <v>751.41250000000002</v>
      </c>
      <c r="AM228">
        <f t="shared" si="248"/>
        <v>751.41250000000002</v>
      </c>
      <c r="BF228" s="1"/>
      <c r="BG228" s="1"/>
      <c r="BK228" s="1">
        <f t="shared" si="249"/>
        <v>1145</v>
      </c>
      <c r="BL228" s="20">
        <f t="shared" si="250"/>
        <v>992631.99999999977</v>
      </c>
      <c r="BM228">
        <f>VLOOKUP(BK228,'Hazard Weighting Functions'!$B$5:$G$1205,4,FALSE)</f>
        <v>0.2</v>
      </c>
      <c r="BN228">
        <f t="shared" si="262"/>
        <v>198526.39999999997</v>
      </c>
      <c r="BO228" s="19">
        <f t="shared" si="246"/>
        <v>989792</v>
      </c>
      <c r="BP228" s="20">
        <f t="shared" si="251"/>
        <v>1025</v>
      </c>
      <c r="BQ228" s="20">
        <f t="shared" si="251"/>
        <v>1119336</v>
      </c>
      <c r="BR228" s="19">
        <f>VLOOKUP(BP228,'Hazard Weighting Functions'!$B$5:$G$1205,4,FALSE)</f>
        <v>0.224</v>
      </c>
      <c r="BS228" s="19">
        <f t="shared" si="263"/>
        <v>250731.264</v>
      </c>
      <c r="BT228" s="19">
        <f t="shared" si="264"/>
        <v>1237119.8399999999</v>
      </c>
    </row>
    <row r="229" spans="2:72">
      <c r="B229">
        <v>900</v>
      </c>
      <c r="C229" s="36">
        <v>150.21799999999999</v>
      </c>
      <c r="E229">
        <v>900</v>
      </c>
      <c r="F229" s="36">
        <v>150.21799999999999</v>
      </c>
      <c r="H229" s="19">
        <v>900</v>
      </c>
      <c r="I229" s="36">
        <v>150.21799999999999</v>
      </c>
      <c r="K229">
        <v>2000</v>
      </c>
      <c r="L229" s="36">
        <f>453.924708*(1628/1602)</f>
        <v>461.29177567041194</v>
      </c>
      <c r="N229">
        <v>1150</v>
      </c>
      <c r="O229" s="36">
        <v>986952</v>
      </c>
      <c r="Q229" s="20">
        <v>1030</v>
      </c>
      <c r="R229" s="37">
        <v>1114688</v>
      </c>
      <c r="V229">
        <f t="shared" si="252"/>
        <v>900</v>
      </c>
      <c r="W229">
        <f t="shared" si="253"/>
        <v>150.21799999999999</v>
      </c>
      <c r="Y229">
        <f t="shared" si="254"/>
        <v>900</v>
      </c>
      <c r="Z229">
        <f t="shared" si="255"/>
        <v>150.21799999999999</v>
      </c>
      <c r="AA229">
        <f>VLOOKUP(Y229,'Hazard Weighting Functions'!$B$5:$G$1205,2,FALSE)</f>
        <v>0</v>
      </c>
      <c r="AB229">
        <f t="shared" si="256"/>
        <v>0</v>
      </c>
      <c r="AC229">
        <f t="shared" si="257"/>
        <v>0</v>
      </c>
      <c r="AE229">
        <f>VLOOKUP(Y229,'Hazard Weighting Functions'!$B$5:$G$1205,3,FALSE)</f>
        <v>0</v>
      </c>
      <c r="AF229">
        <f t="shared" si="258"/>
        <v>0</v>
      </c>
      <c r="AG229">
        <f t="shared" si="259"/>
        <v>0</v>
      </c>
      <c r="AH229">
        <f>VLOOKUP(Y229,'Hazard Weighting Functions'!$B$5:$G$1205,5,FALSE)</f>
        <v>0</v>
      </c>
      <c r="AI229">
        <f t="shared" si="260"/>
        <v>0</v>
      </c>
      <c r="AJ229">
        <f t="shared" si="261"/>
        <v>0</v>
      </c>
      <c r="AK229">
        <f t="shared" si="247"/>
        <v>750.70749999999998</v>
      </c>
      <c r="AM229">
        <f t="shared" si="248"/>
        <v>750.70749999999998</v>
      </c>
      <c r="BF229" s="1"/>
      <c r="BG229" s="1"/>
      <c r="BK229" s="1">
        <f t="shared" si="249"/>
        <v>1150</v>
      </c>
      <c r="BL229" s="20">
        <f t="shared" si="250"/>
        <v>986952</v>
      </c>
      <c r="BM229">
        <f>VLOOKUP(BK229,'Hazard Weighting Functions'!$B$5:$G$1205,4,FALSE)</f>
        <v>0.2</v>
      </c>
      <c r="BN229">
        <f t="shared" si="262"/>
        <v>197390.40000000002</v>
      </c>
      <c r="BO229" s="19">
        <f t="shared" si="246"/>
        <v>883525.26000000013</v>
      </c>
      <c r="BP229" s="20">
        <f t="shared" si="251"/>
        <v>1030</v>
      </c>
      <c r="BQ229" s="20">
        <f t="shared" si="251"/>
        <v>1114688</v>
      </c>
      <c r="BR229" s="19">
        <f>VLOOKUP(BP229,'Hazard Weighting Functions'!$B$5:$G$1205,4,FALSE)</f>
        <v>0.219</v>
      </c>
      <c r="BS229" s="19">
        <f t="shared" si="263"/>
        <v>244116.67199999999</v>
      </c>
      <c r="BT229" s="19">
        <f t="shared" si="264"/>
        <v>1204120.2799999998</v>
      </c>
    </row>
    <row r="230" spans="2:72">
      <c r="B230">
        <v>905</v>
      </c>
      <c r="C230" s="36">
        <v>150.065</v>
      </c>
      <c r="E230">
        <v>905</v>
      </c>
      <c r="F230" s="36">
        <v>150.065</v>
      </c>
      <c r="H230" s="19">
        <v>905</v>
      </c>
      <c r="I230" s="36">
        <v>150.065</v>
      </c>
      <c r="K230">
        <v>2005</v>
      </c>
      <c r="L230" s="36">
        <f>450.591216*(1628/1602)</f>
        <v>457.90418205243441</v>
      </c>
      <c r="N230">
        <v>1155</v>
      </c>
      <c r="O230" s="36">
        <v>981256</v>
      </c>
      <c r="Q230" s="20">
        <v>1035</v>
      </c>
      <c r="R230" s="37">
        <v>1109960</v>
      </c>
      <c r="V230">
        <f t="shared" si="252"/>
        <v>905</v>
      </c>
      <c r="W230">
        <f t="shared" si="253"/>
        <v>150.065</v>
      </c>
      <c r="Y230">
        <f t="shared" si="254"/>
        <v>905</v>
      </c>
      <c r="Z230">
        <f t="shared" si="255"/>
        <v>150.065</v>
      </c>
      <c r="AK230">
        <f t="shared" si="247"/>
        <v>749.88250000000005</v>
      </c>
      <c r="AM230">
        <f t="shared" si="248"/>
        <v>749.88250000000005</v>
      </c>
      <c r="BF230" s="1"/>
      <c r="BG230" s="1"/>
      <c r="BK230" s="1">
        <f t="shared" si="249"/>
        <v>1155</v>
      </c>
      <c r="BL230" s="20">
        <f t="shared" si="250"/>
        <v>981256</v>
      </c>
      <c r="BM230">
        <f>VLOOKUP(BK230,'Hazard Weighting Functions'!$B$5:$G$1205,4,FALSE)</f>
        <v>0.159</v>
      </c>
      <c r="BN230">
        <f t="shared" si="262"/>
        <v>156019.704</v>
      </c>
      <c r="BO230" s="19">
        <f t="shared" si="246"/>
        <v>697343.1</v>
      </c>
      <c r="BP230" s="20">
        <f t="shared" si="251"/>
        <v>1035</v>
      </c>
      <c r="BQ230" s="20">
        <f t="shared" si="251"/>
        <v>1109960</v>
      </c>
      <c r="BR230" s="19">
        <f>VLOOKUP(BP230,'Hazard Weighting Functions'!$B$5:$G$1205,4,FALSE)</f>
        <v>0.214</v>
      </c>
      <c r="BS230" s="19">
        <f t="shared" si="263"/>
        <v>237531.44</v>
      </c>
      <c r="BT230" s="19">
        <f t="shared" si="264"/>
        <v>1171270.52</v>
      </c>
    </row>
    <row r="231" spans="2:72">
      <c r="B231">
        <v>910</v>
      </c>
      <c r="C231" s="36">
        <v>149.88800000000003</v>
      </c>
      <c r="E231">
        <v>910</v>
      </c>
      <c r="F231" s="36">
        <v>149.88800000000003</v>
      </c>
      <c r="H231" s="19">
        <v>910</v>
      </c>
      <c r="I231" s="36">
        <v>149.88800000000003</v>
      </c>
      <c r="K231">
        <v>2010</v>
      </c>
      <c r="L231" s="36">
        <f>447.282444*(1628/1602)</f>
        <v>454.54170963295877</v>
      </c>
      <c r="N231">
        <v>1160</v>
      </c>
      <c r="O231" s="36">
        <v>975535.99999999977</v>
      </c>
      <c r="Q231" s="20">
        <v>1040</v>
      </c>
      <c r="R231" s="37">
        <v>1105152</v>
      </c>
      <c r="V231">
        <f t="shared" si="252"/>
        <v>910</v>
      </c>
      <c r="W231">
        <f t="shared" si="253"/>
        <v>149.88800000000003</v>
      </c>
      <c r="Y231">
        <f t="shared" si="254"/>
        <v>910</v>
      </c>
      <c r="Z231">
        <f t="shared" si="255"/>
        <v>149.88800000000003</v>
      </c>
      <c r="AK231">
        <f t="shared" si="247"/>
        <v>748.9425</v>
      </c>
      <c r="AM231">
        <f t="shared" si="248"/>
        <v>748.9425</v>
      </c>
      <c r="BF231" s="1"/>
      <c r="BG231" s="1"/>
      <c r="BK231" s="1">
        <f t="shared" si="249"/>
        <v>1160</v>
      </c>
      <c r="BL231" s="20">
        <f t="shared" si="250"/>
        <v>975535.99999999977</v>
      </c>
      <c r="BM231">
        <f>VLOOKUP(BK231,'Hazard Weighting Functions'!$B$5:$G$1205,4,FALSE)</f>
        <v>0.126</v>
      </c>
      <c r="BN231">
        <f t="shared" si="262"/>
        <v>122917.53599999998</v>
      </c>
      <c r="BO231" s="19">
        <f t="shared" si="246"/>
        <v>549743.83999999985</v>
      </c>
      <c r="BP231" s="20">
        <f t="shared" si="251"/>
        <v>1040</v>
      </c>
      <c r="BQ231" s="20">
        <f t="shared" si="251"/>
        <v>1105152</v>
      </c>
      <c r="BR231" s="19">
        <f>VLOOKUP(BP231,'Hazard Weighting Functions'!$B$5:$G$1205,4,FALSE)</f>
        <v>0.20899999999999999</v>
      </c>
      <c r="BS231" s="19">
        <f t="shared" si="263"/>
        <v>230976.76799999998</v>
      </c>
      <c r="BT231" s="19">
        <f t="shared" si="264"/>
        <v>1138576.5599999998</v>
      </c>
    </row>
    <row r="232" spans="2:72">
      <c r="B232">
        <v>915</v>
      </c>
      <c r="C232" s="36">
        <v>149.68899999999999</v>
      </c>
      <c r="E232">
        <v>915</v>
      </c>
      <c r="F232" s="36">
        <v>149.68899999999999</v>
      </c>
      <c r="H232" s="19">
        <v>915</v>
      </c>
      <c r="I232" s="36">
        <v>149.68899999999999</v>
      </c>
      <c r="K232">
        <v>2015</v>
      </c>
      <c r="L232" s="36">
        <f>443.999628*(1628/1602)</f>
        <v>451.20561447191011</v>
      </c>
      <c r="N232">
        <v>1165</v>
      </c>
      <c r="O232" s="36">
        <v>969800</v>
      </c>
      <c r="Q232" s="20">
        <v>1045</v>
      </c>
      <c r="R232" s="37">
        <v>1100263.9999999998</v>
      </c>
      <c r="V232">
        <f t="shared" si="252"/>
        <v>915</v>
      </c>
      <c r="W232">
        <f t="shared" si="253"/>
        <v>149.68899999999999</v>
      </c>
      <c r="Y232">
        <f t="shared" si="254"/>
        <v>915</v>
      </c>
      <c r="Z232">
        <f t="shared" si="255"/>
        <v>149.68899999999999</v>
      </c>
      <c r="AK232">
        <f t="shared" si="247"/>
        <v>747.89249999999993</v>
      </c>
      <c r="AM232">
        <f t="shared" si="248"/>
        <v>747.89249999999993</v>
      </c>
      <c r="BF232" s="1"/>
      <c r="BG232" s="1"/>
      <c r="BK232" s="1">
        <f t="shared" si="249"/>
        <v>1165</v>
      </c>
      <c r="BL232" s="20">
        <f t="shared" si="250"/>
        <v>969800</v>
      </c>
      <c r="BM232">
        <f>VLOOKUP(BK232,'Hazard Weighting Functions'!$B$5:$G$1205,4,FALSE)</f>
        <v>0.1</v>
      </c>
      <c r="BN232">
        <f t="shared" si="262"/>
        <v>96980</v>
      </c>
      <c r="BO232" s="19">
        <f t="shared" si="246"/>
        <v>435259.6</v>
      </c>
      <c r="BP232" s="20">
        <f t="shared" si="251"/>
        <v>1045</v>
      </c>
      <c r="BQ232" s="20">
        <f t="shared" si="251"/>
        <v>1100263.9999999998</v>
      </c>
      <c r="BR232" s="19">
        <f>VLOOKUP(BP232,'Hazard Weighting Functions'!$B$5:$G$1205,4,FALSE)</f>
        <v>0.20399999999999999</v>
      </c>
      <c r="BS232" s="19">
        <f t="shared" si="263"/>
        <v>224453.85599999994</v>
      </c>
      <c r="BT232" s="19">
        <f t="shared" si="264"/>
        <v>1108786.6399999999</v>
      </c>
    </row>
    <row r="233" spans="2:72">
      <c r="B233">
        <v>920</v>
      </c>
      <c r="C233" s="36">
        <v>149.46799999999999</v>
      </c>
      <c r="E233">
        <v>920</v>
      </c>
      <c r="F233" s="36">
        <v>149.46799999999999</v>
      </c>
      <c r="H233" s="19">
        <v>920</v>
      </c>
      <c r="I233" s="36">
        <v>149.46799999999999</v>
      </c>
      <c r="K233">
        <v>2020</v>
      </c>
      <c r="L233" s="36">
        <f>440.740296*(1628/1602)</f>
        <v>447.8933844494382</v>
      </c>
      <c r="N233">
        <v>1170</v>
      </c>
      <c r="O233" s="36">
        <v>964048</v>
      </c>
      <c r="Q233" s="20">
        <v>1050</v>
      </c>
      <c r="R233" s="37">
        <v>1095304</v>
      </c>
      <c r="V233">
        <f t="shared" si="252"/>
        <v>920</v>
      </c>
      <c r="W233">
        <f t="shared" si="253"/>
        <v>149.46799999999999</v>
      </c>
      <c r="Y233">
        <f t="shared" si="254"/>
        <v>920</v>
      </c>
      <c r="Z233">
        <f t="shared" si="255"/>
        <v>149.46799999999999</v>
      </c>
      <c r="AK233">
        <f t="shared" si="247"/>
        <v>746.34</v>
      </c>
      <c r="AM233">
        <f t="shared" si="248"/>
        <v>746.34</v>
      </c>
      <c r="BF233" s="1"/>
      <c r="BG233" s="1"/>
      <c r="BK233" s="1">
        <f t="shared" si="249"/>
        <v>1170</v>
      </c>
      <c r="BL233" s="20">
        <f t="shared" si="250"/>
        <v>964048</v>
      </c>
      <c r="BM233">
        <f>VLOOKUP(BK233,'Hazard Weighting Functions'!$B$5:$G$1205,4,FALSE)</f>
        <v>0.08</v>
      </c>
      <c r="BN233">
        <f t="shared" si="262"/>
        <v>77123.839999999997</v>
      </c>
      <c r="BO233" s="19">
        <f t="shared" si="246"/>
        <v>343738.69999999995</v>
      </c>
      <c r="BP233" s="20">
        <f t="shared" si="251"/>
        <v>1050</v>
      </c>
      <c r="BQ233" s="20">
        <f t="shared" si="251"/>
        <v>1095304</v>
      </c>
      <c r="BR233" s="19">
        <f>VLOOKUP(BP233,'Hazard Weighting Functions'!$B$5:$G$1205,4,FALSE)</f>
        <v>0.2</v>
      </c>
      <c r="BS233" s="19">
        <f t="shared" si="263"/>
        <v>219060.80000000002</v>
      </c>
      <c r="BT233" s="19">
        <f t="shared" si="264"/>
        <v>1092792</v>
      </c>
    </row>
    <row r="234" spans="2:72">
      <c r="B234">
        <v>925</v>
      </c>
      <c r="C234" s="36">
        <v>149.06800000000001</v>
      </c>
      <c r="E234">
        <v>925</v>
      </c>
      <c r="F234" s="36">
        <v>149.06800000000001</v>
      </c>
      <c r="H234" s="19">
        <v>925</v>
      </c>
      <c r="I234" s="36">
        <v>149.06800000000001</v>
      </c>
      <c r="K234">
        <v>2025</v>
      </c>
      <c r="L234" s="36">
        <f>437.50692*(1628/1602)</f>
        <v>444.60753168539327</v>
      </c>
      <c r="N234">
        <v>1175</v>
      </c>
      <c r="O234" s="36">
        <v>958280</v>
      </c>
      <c r="Q234" s="20">
        <v>1055</v>
      </c>
      <c r="R234" s="37">
        <v>1090280</v>
      </c>
      <c r="V234">
        <f t="shared" si="252"/>
        <v>925</v>
      </c>
      <c r="W234">
        <f t="shared" si="253"/>
        <v>149.06800000000001</v>
      </c>
      <c r="Y234">
        <f t="shared" si="254"/>
        <v>925</v>
      </c>
      <c r="Z234">
        <f t="shared" si="255"/>
        <v>149.06800000000001</v>
      </c>
      <c r="AK234">
        <f t="shared" si="247"/>
        <v>744.28750000000014</v>
      </c>
      <c r="AM234">
        <f t="shared" si="248"/>
        <v>744.28750000000014</v>
      </c>
      <c r="BF234" s="1"/>
      <c r="BG234" s="1"/>
      <c r="BK234" s="1">
        <f t="shared" si="249"/>
        <v>1175</v>
      </c>
      <c r="BL234" s="20">
        <f t="shared" si="250"/>
        <v>958280</v>
      </c>
      <c r="BM234">
        <f>VLOOKUP(BK234,'Hazard Weighting Functions'!$B$5:$G$1205,4,FALSE)</f>
        <v>6.3E-2</v>
      </c>
      <c r="BN234">
        <f t="shared" si="262"/>
        <v>60371.64</v>
      </c>
      <c r="BO234" s="19">
        <f t="shared" si="246"/>
        <v>269991.09999999998</v>
      </c>
      <c r="BP234" s="20">
        <f t="shared" si="251"/>
        <v>1055</v>
      </c>
      <c r="BQ234" s="20">
        <f t="shared" si="251"/>
        <v>1090280</v>
      </c>
      <c r="BR234" s="19">
        <f>VLOOKUP(BP234,'Hazard Weighting Functions'!$B$5:$G$1205,4,FALSE)</f>
        <v>0.2</v>
      </c>
      <c r="BS234" s="19">
        <f t="shared" si="263"/>
        <v>218056</v>
      </c>
      <c r="BT234" s="19">
        <f t="shared" si="264"/>
        <v>1087732</v>
      </c>
    </row>
    <row r="235" spans="2:72">
      <c r="B235">
        <v>930</v>
      </c>
      <c r="C235" s="36">
        <v>148.64699999999999</v>
      </c>
      <c r="E235">
        <v>930</v>
      </c>
      <c r="F235" s="36">
        <v>148.64699999999999</v>
      </c>
      <c r="H235" s="19">
        <v>930</v>
      </c>
      <c r="I235" s="36">
        <v>148.64699999999999</v>
      </c>
      <c r="K235">
        <v>2030</v>
      </c>
      <c r="L235" s="36">
        <f>434.298264*(1628/1602)</f>
        <v>441.34680011985017</v>
      </c>
      <c r="N235">
        <v>1180</v>
      </c>
      <c r="O235" s="36">
        <v>952496</v>
      </c>
      <c r="Q235" s="20">
        <v>1060</v>
      </c>
      <c r="R235" s="37">
        <v>1085184</v>
      </c>
      <c r="V235">
        <f t="shared" si="252"/>
        <v>930</v>
      </c>
      <c r="W235">
        <f t="shared" si="253"/>
        <v>148.64699999999999</v>
      </c>
      <c r="Y235">
        <f t="shared" si="254"/>
        <v>930</v>
      </c>
      <c r="Z235">
        <f t="shared" si="255"/>
        <v>148.64699999999999</v>
      </c>
      <c r="AK235">
        <f t="shared" si="247"/>
        <v>742.13250000000005</v>
      </c>
      <c r="AM235">
        <f t="shared" si="248"/>
        <v>742.13250000000005</v>
      </c>
      <c r="BF235" s="1"/>
      <c r="BG235" s="1"/>
      <c r="BK235" s="1">
        <f t="shared" si="249"/>
        <v>1180</v>
      </c>
      <c r="BL235" s="20">
        <f t="shared" si="250"/>
        <v>952496</v>
      </c>
      <c r="BM235">
        <f>VLOOKUP(BK235,'Hazard Weighting Functions'!$B$5:$G$1205,4,FALSE)</f>
        <v>0.05</v>
      </c>
      <c r="BN235">
        <f t="shared" si="262"/>
        <v>47624.800000000003</v>
      </c>
      <c r="BO235" s="19">
        <f t="shared" si="246"/>
        <v>213732.39999999997</v>
      </c>
      <c r="BP235" s="20">
        <f t="shared" si="251"/>
        <v>1060</v>
      </c>
      <c r="BQ235" s="20">
        <f t="shared" si="251"/>
        <v>1085184</v>
      </c>
      <c r="BR235" s="19">
        <f>VLOOKUP(BP235,'Hazard Weighting Functions'!$B$5:$G$1205,4,FALSE)</f>
        <v>0.2</v>
      </c>
      <c r="BS235" s="19">
        <f t="shared" si="263"/>
        <v>217036.80000000002</v>
      </c>
      <c r="BT235" s="19">
        <f t="shared" si="264"/>
        <v>1082604</v>
      </c>
    </row>
    <row r="236" spans="2:72">
      <c r="B236">
        <v>935</v>
      </c>
      <c r="C236" s="36">
        <v>148.20600000000002</v>
      </c>
      <c r="E236">
        <v>935</v>
      </c>
      <c r="F236" s="36">
        <v>148.20600000000002</v>
      </c>
      <c r="H236" s="19">
        <v>935</v>
      </c>
      <c r="I236" s="36">
        <v>148.20600000000002</v>
      </c>
      <c r="K236">
        <v>2035</v>
      </c>
      <c r="L236" s="36">
        <f>431.114328*(1628/1602)</f>
        <v>438.11118975280903</v>
      </c>
      <c r="N236">
        <v>1185</v>
      </c>
      <c r="O236" s="36">
        <v>946703.99999999977</v>
      </c>
      <c r="Q236" s="20">
        <v>1065</v>
      </c>
      <c r="R236" s="37">
        <v>1080023.9999999998</v>
      </c>
      <c r="V236">
        <f t="shared" si="252"/>
        <v>935</v>
      </c>
      <c r="W236">
        <f t="shared" si="253"/>
        <v>148.20600000000002</v>
      </c>
      <c r="Y236">
        <f t="shared" si="254"/>
        <v>935</v>
      </c>
      <c r="Z236">
        <f t="shared" si="255"/>
        <v>148.20600000000002</v>
      </c>
      <c r="AK236">
        <f t="shared" si="247"/>
        <v>739.88</v>
      </c>
      <c r="AM236">
        <f t="shared" si="248"/>
        <v>739.88</v>
      </c>
      <c r="BF236" s="1"/>
      <c r="BG236" s="1"/>
      <c r="BK236" s="1">
        <f t="shared" si="249"/>
        <v>1185</v>
      </c>
      <c r="BL236" s="20">
        <f t="shared" si="250"/>
        <v>946703.99999999977</v>
      </c>
      <c r="BM236">
        <f>VLOOKUP(BK236,'Hazard Weighting Functions'!$B$5:$G$1205,4,FALSE)</f>
        <v>0.04</v>
      </c>
      <c r="BN236">
        <f t="shared" si="262"/>
        <v>37868.159999999989</v>
      </c>
      <c r="BO236" s="19">
        <f t="shared" si="246"/>
        <v>169942.08</v>
      </c>
      <c r="BP236" s="20">
        <f t="shared" si="251"/>
        <v>1065</v>
      </c>
      <c r="BQ236" s="20">
        <f t="shared" si="251"/>
        <v>1080023.9999999998</v>
      </c>
      <c r="BR236" s="19">
        <f>VLOOKUP(BP236,'Hazard Weighting Functions'!$B$5:$G$1205,4,FALSE)</f>
        <v>0.2</v>
      </c>
      <c r="BS236" s="19">
        <f t="shared" si="263"/>
        <v>216004.79999999996</v>
      </c>
      <c r="BT236" s="19">
        <f t="shared" si="264"/>
        <v>1077416</v>
      </c>
    </row>
    <row r="237" spans="2:72">
      <c r="B237">
        <v>940</v>
      </c>
      <c r="C237" s="36">
        <v>147.74600000000001</v>
      </c>
      <c r="E237">
        <v>940</v>
      </c>
      <c r="F237" s="36">
        <v>147.74600000000001</v>
      </c>
      <c r="H237" s="19">
        <v>940</v>
      </c>
      <c r="I237" s="36">
        <v>147.74600000000001</v>
      </c>
      <c r="K237">
        <v>2040</v>
      </c>
      <c r="L237" s="36">
        <f>427.953876*(1628/1602)</f>
        <v>434.89944452434457</v>
      </c>
      <c r="N237">
        <v>1190</v>
      </c>
      <c r="O237" s="36">
        <v>940896</v>
      </c>
      <c r="Q237" s="20">
        <v>1070</v>
      </c>
      <c r="R237" s="37">
        <v>1074808</v>
      </c>
      <c r="V237">
        <f t="shared" si="252"/>
        <v>940</v>
      </c>
      <c r="W237">
        <f t="shared" si="253"/>
        <v>147.74600000000001</v>
      </c>
      <c r="Y237">
        <f t="shared" si="254"/>
        <v>940</v>
      </c>
      <c r="Z237">
        <f t="shared" si="255"/>
        <v>147.74600000000001</v>
      </c>
      <c r="AK237">
        <f t="shared" si="247"/>
        <v>738.17250000000001</v>
      </c>
      <c r="AM237">
        <f t="shared" si="248"/>
        <v>738.17250000000001</v>
      </c>
      <c r="BF237" s="1"/>
      <c r="BG237" s="1"/>
      <c r="BK237" s="1">
        <f t="shared" si="249"/>
        <v>1190</v>
      </c>
      <c r="BL237" s="20">
        <f t="shared" si="250"/>
        <v>940896</v>
      </c>
      <c r="BM237">
        <f>VLOOKUP(BK237,'Hazard Weighting Functions'!$B$5:$G$1205,4,FALSE)</f>
        <v>3.2000000000000001E-2</v>
      </c>
      <c r="BN237">
        <f t="shared" si="262"/>
        <v>30108.672000000002</v>
      </c>
      <c r="BO237" s="19">
        <f t="shared" si="246"/>
        <v>133714.18000000002</v>
      </c>
      <c r="BP237" s="20">
        <f t="shared" si="251"/>
        <v>1070</v>
      </c>
      <c r="BQ237" s="20">
        <f t="shared" si="251"/>
        <v>1074808</v>
      </c>
      <c r="BR237" s="19">
        <f>VLOOKUP(BP237,'Hazard Weighting Functions'!$B$5:$G$1205,4,FALSE)</f>
        <v>0.2</v>
      </c>
      <c r="BS237" s="19">
        <f t="shared" si="263"/>
        <v>214961.6</v>
      </c>
      <c r="BT237" s="19">
        <f t="shared" si="264"/>
        <v>1072168</v>
      </c>
    </row>
    <row r="238" spans="2:72">
      <c r="B238">
        <v>945</v>
      </c>
      <c r="C238" s="36">
        <v>147.523</v>
      </c>
      <c r="E238">
        <v>945</v>
      </c>
      <c r="F238" s="36">
        <v>147.523</v>
      </c>
      <c r="H238" s="19">
        <v>945</v>
      </c>
      <c r="I238" s="36">
        <v>147.523</v>
      </c>
      <c r="K238">
        <v>2045</v>
      </c>
      <c r="L238" s="36">
        <f>424.818144*(1628/1602)</f>
        <v>431.71282049438202</v>
      </c>
      <c r="N238">
        <v>1195</v>
      </c>
      <c r="O238" s="36">
        <v>935080</v>
      </c>
      <c r="Q238" s="20">
        <v>1075</v>
      </c>
      <c r="R238" s="37">
        <v>1069528</v>
      </c>
      <c r="V238">
        <f t="shared" si="252"/>
        <v>945</v>
      </c>
      <c r="W238">
        <f t="shared" si="253"/>
        <v>147.523</v>
      </c>
      <c r="Y238">
        <f t="shared" si="254"/>
        <v>945</v>
      </c>
      <c r="Z238">
        <f t="shared" si="255"/>
        <v>147.523</v>
      </c>
      <c r="AK238">
        <f t="shared" si="247"/>
        <v>737.01250000000005</v>
      </c>
      <c r="AM238">
        <f t="shared" si="248"/>
        <v>737.01250000000005</v>
      </c>
      <c r="BF238" s="1"/>
      <c r="BG238" s="1"/>
      <c r="BK238" s="1">
        <f t="shared" si="249"/>
        <v>1195</v>
      </c>
      <c r="BL238" s="20">
        <f t="shared" si="250"/>
        <v>935080</v>
      </c>
      <c r="BM238">
        <f>VLOOKUP(BK238,'Hazard Weighting Functions'!$B$5:$G$1205,4,FALSE)</f>
        <v>2.5000000000000001E-2</v>
      </c>
      <c r="BN238">
        <f t="shared" si="262"/>
        <v>23377</v>
      </c>
      <c r="BO238" s="19">
        <f t="shared" si="246"/>
        <v>104905.29999999999</v>
      </c>
      <c r="BP238" s="20">
        <f t="shared" si="251"/>
        <v>1075</v>
      </c>
      <c r="BQ238" s="20">
        <f t="shared" si="251"/>
        <v>1069528</v>
      </c>
      <c r="BR238" s="19">
        <f>VLOOKUP(BP238,'Hazard Weighting Functions'!$B$5:$G$1205,4,FALSE)</f>
        <v>0.2</v>
      </c>
      <c r="BS238" s="19">
        <f t="shared" si="263"/>
        <v>213905.6</v>
      </c>
      <c r="BT238" s="19">
        <f t="shared" si="264"/>
        <v>1066860</v>
      </c>
    </row>
    <row r="239" spans="2:72">
      <c r="B239">
        <v>950</v>
      </c>
      <c r="C239" s="36">
        <v>147.28200000000001</v>
      </c>
      <c r="E239">
        <v>950</v>
      </c>
      <c r="F239" s="36">
        <v>147.28200000000001</v>
      </c>
      <c r="H239" s="19">
        <v>950</v>
      </c>
      <c r="I239" s="36">
        <v>147.28200000000001</v>
      </c>
      <c r="K239">
        <v>2050</v>
      </c>
      <c r="L239" s="36">
        <f>421.705896*(1628/1602)</f>
        <v>428.55006160299627</v>
      </c>
      <c r="N239">
        <v>1200</v>
      </c>
      <c r="O239" s="36">
        <v>929256</v>
      </c>
      <c r="Q239" s="20">
        <v>1080</v>
      </c>
      <c r="R239" s="37">
        <v>1064192</v>
      </c>
      <c r="V239">
        <f t="shared" si="252"/>
        <v>950</v>
      </c>
      <c r="W239">
        <f t="shared" si="253"/>
        <v>147.28200000000001</v>
      </c>
      <c r="Y239">
        <f t="shared" si="254"/>
        <v>950</v>
      </c>
      <c r="Z239">
        <f t="shared" si="255"/>
        <v>147.28200000000001</v>
      </c>
      <c r="AK239">
        <f t="shared" si="247"/>
        <v>735.76250000000005</v>
      </c>
      <c r="AM239">
        <f t="shared" si="248"/>
        <v>735.76250000000005</v>
      </c>
      <c r="BF239" s="1"/>
      <c r="BG239" s="1"/>
      <c r="BK239" s="1">
        <f t="shared" si="249"/>
        <v>1200</v>
      </c>
      <c r="BL239" s="20">
        <f t="shared" si="250"/>
        <v>929256</v>
      </c>
      <c r="BM239">
        <f>VLOOKUP(BK239,'Hazard Weighting Functions'!$B$5:$G$1205,4,FALSE)</f>
        <v>0.02</v>
      </c>
      <c r="BN239">
        <f t="shared" si="262"/>
        <v>18585.12</v>
      </c>
      <c r="BO239" s="19">
        <f t="shared" si="246"/>
        <v>92643.199999999997</v>
      </c>
      <c r="BP239" s="20">
        <f t="shared" si="251"/>
        <v>1080</v>
      </c>
      <c r="BQ239" s="20">
        <f t="shared" si="251"/>
        <v>1064192</v>
      </c>
      <c r="BR239" s="19">
        <f>VLOOKUP(BP239,'Hazard Weighting Functions'!$B$5:$G$1205,4,FALSE)</f>
        <v>0.2</v>
      </c>
      <c r="BS239" s="19">
        <f t="shared" si="263"/>
        <v>212838.40000000002</v>
      </c>
      <c r="BT239" s="19">
        <f t="shared" si="264"/>
        <v>1061500</v>
      </c>
    </row>
    <row r="240" spans="2:72">
      <c r="B240">
        <v>955</v>
      </c>
      <c r="C240" s="36">
        <v>147.023</v>
      </c>
      <c r="E240">
        <v>955</v>
      </c>
      <c r="F240" s="36">
        <v>147.023</v>
      </c>
      <c r="H240" s="19">
        <v>955</v>
      </c>
      <c r="I240" s="36">
        <v>147.023</v>
      </c>
      <c r="K240">
        <v>2055</v>
      </c>
      <c r="L240" s="36">
        <f>418.617132*(1628/1602)</f>
        <v>425.41116785018727</v>
      </c>
      <c r="N240">
        <v>1205</v>
      </c>
      <c r="O240" s="36">
        <v>923607.99999999977</v>
      </c>
      <c r="Q240" s="20">
        <v>1085</v>
      </c>
      <c r="R240" s="37">
        <v>1058808</v>
      </c>
      <c r="V240">
        <f t="shared" si="252"/>
        <v>955</v>
      </c>
      <c r="W240">
        <f t="shared" si="253"/>
        <v>147.023</v>
      </c>
      <c r="Y240">
        <f t="shared" si="254"/>
        <v>955</v>
      </c>
      <c r="Z240">
        <f t="shared" si="255"/>
        <v>147.023</v>
      </c>
      <c r="AK240">
        <f t="shared" si="247"/>
        <v>734.42250000000001</v>
      </c>
      <c r="AM240">
        <f t="shared" si="248"/>
        <v>734.42250000000001</v>
      </c>
      <c r="BF240" s="1"/>
      <c r="BG240" s="1"/>
      <c r="BK240" s="1">
        <f t="shared" si="249"/>
        <v>1205</v>
      </c>
      <c r="BL240" s="20">
        <f t="shared" si="250"/>
        <v>923607.99999999977</v>
      </c>
      <c r="BM240">
        <f>VLOOKUP(BK240,'Hazard Weighting Functions'!$B$5:$G$1205,4,FALSE)</f>
        <v>0.02</v>
      </c>
      <c r="BN240">
        <f t="shared" si="262"/>
        <v>18472.159999999996</v>
      </c>
      <c r="BO240" s="19">
        <f t="shared" si="246"/>
        <v>92077.599999999977</v>
      </c>
      <c r="BP240" s="20">
        <f t="shared" si="251"/>
        <v>1085</v>
      </c>
      <c r="BQ240" s="20">
        <f t="shared" si="251"/>
        <v>1058808</v>
      </c>
      <c r="BR240" s="19">
        <f>VLOOKUP(BP240,'Hazard Weighting Functions'!$B$5:$G$1205,4,FALSE)</f>
        <v>0.2</v>
      </c>
      <c r="BS240" s="19">
        <f t="shared" si="263"/>
        <v>211761.6</v>
      </c>
      <c r="BT240" s="19">
        <f t="shared" si="264"/>
        <v>1056088</v>
      </c>
    </row>
    <row r="241" spans="2:72">
      <c r="B241">
        <v>960</v>
      </c>
      <c r="C241" s="36">
        <v>146.74600000000001</v>
      </c>
      <c r="E241">
        <v>960</v>
      </c>
      <c r="F241" s="36">
        <v>146.74600000000001</v>
      </c>
      <c r="H241" s="19">
        <v>960</v>
      </c>
      <c r="I241" s="36">
        <v>146.74600000000001</v>
      </c>
      <c r="K241">
        <v>2060</v>
      </c>
      <c r="L241" s="36">
        <f>415.553088*(1628/1602)</f>
        <v>422.29739529588016</v>
      </c>
      <c r="N241">
        <v>1210</v>
      </c>
      <c r="O241" s="36">
        <v>917944</v>
      </c>
      <c r="Q241" s="20">
        <v>1090</v>
      </c>
      <c r="R241" s="37">
        <v>1053367.9999999998</v>
      </c>
      <c r="V241">
        <f t="shared" si="252"/>
        <v>960</v>
      </c>
      <c r="W241">
        <f t="shared" si="253"/>
        <v>146.74600000000001</v>
      </c>
      <c r="Y241">
        <f t="shared" si="254"/>
        <v>960</v>
      </c>
      <c r="Z241">
        <f t="shared" si="255"/>
        <v>146.74600000000001</v>
      </c>
      <c r="AK241">
        <f t="shared" si="247"/>
        <v>732.42250000000013</v>
      </c>
      <c r="AM241">
        <f t="shared" si="248"/>
        <v>732.42250000000013</v>
      </c>
      <c r="BF241" s="1"/>
      <c r="BG241" s="1"/>
      <c r="BK241" s="1">
        <f t="shared" si="249"/>
        <v>1210</v>
      </c>
      <c r="BL241" s="20">
        <f t="shared" si="250"/>
        <v>917944</v>
      </c>
      <c r="BM241">
        <f>VLOOKUP(BK241,'Hazard Weighting Functions'!$B$5:$G$1205,4,FALSE)</f>
        <v>0.02</v>
      </c>
      <c r="BN241">
        <f t="shared" si="262"/>
        <v>18358.88</v>
      </c>
      <c r="BO241" s="19">
        <f t="shared" si="246"/>
        <v>91511.200000000012</v>
      </c>
      <c r="BP241" s="20">
        <f t="shared" si="251"/>
        <v>1090</v>
      </c>
      <c r="BQ241" s="20">
        <f t="shared" si="251"/>
        <v>1053367.9999999998</v>
      </c>
      <c r="BR241" s="19">
        <f>VLOOKUP(BP241,'Hazard Weighting Functions'!$B$5:$G$1205,4,FALSE)</f>
        <v>0.2</v>
      </c>
      <c r="BS241" s="19">
        <f t="shared" si="263"/>
        <v>210673.59999999998</v>
      </c>
      <c r="BT241" s="19">
        <f t="shared" si="264"/>
        <v>1050628</v>
      </c>
    </row>
    <row r="242" spans="2:72">
      <c r="B242">
        <v>965</v>
      </c>
      <c r="C242" s="36">
        <v>146.22300000000001</v>
      </c>
      <c r="E242">
        <v>965</v>
      </c>
      <c r="F242" s="36">
        <v>146.22300000000001</v>
      </c>
      <c r="H242" s="19">
        <v>965</v>
      </c>
      <c r="I242" s="36">
        <v>146.22300000000001</v>
      </c>
      <c r="K242">
        <v>2065</v>
      </c>
      <c r="L242" s="36">
        <f>412.511292*(1628/1602)</f>
        <v>419.20623182022473</v>
      </c>
      <c r="N242">
        <v>1215</v>
      </c>
      <c r="O242" s="36">
        <v>912280</v>
      </c>
      <c r="Q242" s="20">
        <v>1095</v>
      </c>
      <c r="R242" s="37">
        <v>1047887.9999999998</v>
      </c>
      <c r="V242">
        <f t="shared" si="252"/>
        <v>965</v>
      </c>
      <c r="W242">
        <f t="shared" si="253"/>
        <v>146.22300000000001</v>
      </c>
      <c r="Y242">
        <f t="shared" si="254"/>
        <v>965</v>
      </c>
      <c r="Z242">
        <f t="shared" si="255"/>
        <v>146.22300000000001</v>
      </c>
      <c r="AK242">
        <f t="shared" si="247"/>
        <v>729.77</v>
      </c>
      <c r="AM242">
        <f t="shared" si="248"/>
        <v>729.77</v>
      </c>
      <c r="BF242" s="1"/>
      <c r="BG242" s="1"/>
      <c r="BK242" s="1">
        <f t="shared" si="249"/>
        <v>1215</v>
      </c>
      <c r="BL242" s="20">
        <f t="shared" si="250"/>
        <v>912280</v>
      </c>
      <c r="BM242">
        <f>VLOOKUP(BK242,'Hazard Weighting Functions'!$B$5:$G$1205,4,FALSE)</f>
        <v>0.02</v>
      </c>
      <c r="BN242">
        <f t="shared" si="262"/>
        <v>18245.600000000002</v>
      </c>
      <c r="BO242" s="19">
        <f t="shared" si="246"/>
        <v>90944.799999999988</v>
      </c>
      <c r="BP242" s="20">
        <f t="shared" si="251"/>
        <v>1095</v>
      </c>
      <c r="BQ242" s="20">
        <f t="shared" si="251"/>
        <v>1047887.9999999998</v>
      </c>
      <c r="BR242" s="19">
        <f>VLOOKUP(BP242,'Hazard Weighting Functions'!$B$5:$G$1205,4,FALSE)</f>
        <v>0.2</v>
      </c>
      <c r="BS242" s="19">
        <f t="shared" si="263"/>
        <v>209577.59999999998</v>
      </c>
      <c r="BT242" s="19">
        <f t="shared" si="264"/>
        <v>1045124</v>
      </c>
    </row>
    <row r="243" spans="2:72">
      <c r="B243">
        <v>970</v>
      </c>
      <c r="C243" s="36">
        <v>145.685</v>
      </c>
      <c r="E243">
        <v>970</v>
      </c>
      <c r="F243" s="36">
        <v>145.685</v>
      </c>
      <c r="H243" s="19">
        <v>970</v>
      </c>
      <c r="I243" s="36">
        <v>145.685</v>
      </c>
      <c r="K243">
        <v>2070</v>
      </c>
      <c r="L243" s="36">
        <f>409.494216*(1628/1602)</f>
        <v>416.14018954307119</v>
      </c>
      <c r="N243">
        <v>1220</v>
      </c>
      <c r="O243" s="36">
        <v>906616</v>
      </c>
      <c r="Q243" s="20">
        <v>1100</v>
      </c>
      <c r="R243" s="37">
        <v>1042359.9999999998</v>
      </c>
      <c r="V243">
        <f t="shared" si="252"/>
        <v>970</v>
      </c>
      <c r="W243">
        <f t="shared" si="253"/>
        <v>145.685</v>
      </c>
      <c r="Y243">
        <f t="shared" si="254"/>
        <v>970</v>
      </c>
      <c r="Z243">
        <f t="shared" si="255"/>
        <v>145.685</v>
      </c>
      <c r="AK243">
        <f t="shared" si="247"/>
        <v>727.04000000000008</v>
      </c>
      <c r="AM243">
        <f t="shared" si="248"/>
        <v>727.04000000000008</v>
      </c>
      <c r="BF243" s="1"/>
      <c r="BG243" s="1"/>
      <c r="BK243" s="1">
        <f t="shared" si="249"/>
        <v>1220</v>
      </c>
      <c r="BL243" s="20">
        <f t="shared" si="250"/>
        <v>906616</v>
      </c>
      <c r="BM243">
        <f>VLOOKUP(BK243,'Hazard Weighting Functions'!$B$5:$G$1205,4,FALSE)</f>
        <v>0.02</v>
      </c>
      <c r="BN243">
        <f t="shared" si="262"/>
        <v>18132.32</v>
      </c>
      <c r="BO243" s="19">
        <f t="shared" si="246"/>
        <v>90378</v>
      </c>
      <c r="BP243" s="20">
        <f t="shared" si="251"/>
        <v>1100</v>
      </c>
      <c r="BQ243" s="20">
        <f t="shared" si="251"/>
        <v>1042359.9999999998</v>
      </c>
      <c r="BR243" s="19">
        <f>VLOOKUP(BP243,'Hazard Weighting Functions'!$B$5:$G$1205,4,FALSE)</f>
        <v>0.2</v>
      </c>
      <c r="BS243" s="19">
        <f t="shared" si="263"/>
        <v>208471.99999999997</v>
      </c>
      <c r="BT243" s="19">
        <f t="shared" si="264"/>
        <v>1039667.9999999999</v>
      </c>
    </row>
    <row r="244" spans="2:72">
      <c r="B244">
        <v>975</v>
      </c>
      <c r="C244" s="36">
        <v>145.131</v>
      </c>
      <c r="E244">
        <v>975</v>
      </c>
      <c r="F244" s="36">
        <v>145.131</v>
      </c>
      <c r="H244" s="19">
        <v>975</v>
      </c>
      <c r="I244" s="36">
        <v>145.131</v>
      </c>
      <c r="K244">
        <v>2075</v>
      </c>
      <c r="L244" s="36">
        <f>406.499388*(1628/1602)</f>
        <v>413.09675634456931</v>
      </c>
      <c r="N244">
        <v>1225</v>
      </c>
      <c r="O244" s="36">
        <v>900944</v>
      </c>
      <c r="Q244" s="20">
        <v>1105</v>
      </c>
      <c r="R244" s="37">
        <v>1036976</v>
      </c>
      <c r="V244">
        <f t="shared" si="252"/>
        <v>975</v>
      </c>
      <c r="W244">
        <f t="shared" si="253"/>
        <v>145.131</v>
      </c>
      <c r="Y244">
        <f t="shared" si="254"/>
        <v>975</v>
      </c>
      <c r="Z244">
        <f t="shared" si="255"/>
        <v>145.131</v>
      </c>
      <c r="AK244">
        <f t="shared" si="247"/>
        <v>724.23</v>
      </c>
      <c r="AM244">
        <f t="shared" si="248"/>
        <v>724.23</v>
      </c>
      <c r="BF244" s="1"/>
      <c r="BG244" s="1"/>
      <c r="BK244" s="1">
        <f t="shared" si="249"/>
        <v>1225</v>
      </c>
      <c r="BL244" s="20">
        <f t="shared" si="250"/>
        <v>900944</v>
      </c>
      <c r="BM244">
        <f>VLOOKUP(BK244,'Hazard Weighting Functions'!$B$5:$G$1205,4,FALSE)</f>
        <v>0.02</v>
      </c>
      <c r="BN244">
        <f t="shared" si="262"/>
        <v>18018.88</v>
      </c>
      <c r="BO244" s="19">
        <f t="shared" si="246"/>
        <v>89811.200000000012</v>
      </c>
      <c r="BP244" s="20">
        <f t="shared" si="251"/>
        <v>1105</v>
      </c>
      <c r="BQ244" s="20">
        <f t="shared" si="251"/>
        <v>1036976</v>
      </c>
      <c r="BR244" s="19">
        <f>VLOOKUP(BP244,'Hazard Weighting Functions'!$B$5:$G$1205,4,FALSE)</f>
        <v>0.2</v>
      </c>
      <c r="BS244" s="19">
        <f t="shared" si="263"/>
        <v>207395.20000000001</v>
      </c>
      <c r="BT244" s="19">
        <f t="shared" si="264"/>
        <v>1034264</v>
      </c>
    </row>
    <row r="245" spans="2:72">
      <c r="B245">
        <v>980</v>
      </c>
      <c r="C245" s="36">
        <v>144.56100000000004</v>
      </c>
      <c r="E245">
        <v>980</v>
      </c>
      <c r="F245" s="36">
        <v>144.56100000000004</v>
      </c>
      <c r="H245" s="19">
        <v>980</v>
      </c>
      <c r="I245" s="36">
        <v>144.56100000000004</v>
      </c>
      <c r="K245">
        <v>2080</v>
      </c>
      <c r="L245" s="36">
        <f>403.526808*(1628/1602)</f>
        <v>410.07593222471905</v>
      </c>
      <c r="N245">
        <v>1230</v>
      </c>
      <c r="O245" s="36">
        <v>895280</v>
      </c>
      <c r="Q245" s="20">
        <v>1110</v>
      </c>
      <c r="R245" s="37">
        <v>1031551.9999999998</v>
      </c>
      <c r="V245">
        <f t="shared" si="252"/>
        <v>980</v>
      </c>
      <c r="W245">
        <f t="shared" si="253"/>
        <v>144.56100000000004</v>
      </c>
      <c r="Y245">
        <f t="shared" si="254"/>
        <v>980</v>
      </c>
      <c r="Z245">
        <f t="shared" si="255"/>
        <v>144.56100000000004</v>
      </c>
      <c r="AK245">
        <f t="shared" si="247"/>
        <v>721.66500000000019</v>
      </c>
      <c r="AM245">
        <f t="shared" si="248"/>
        <v>721.66500000000019</v>
      </c>
      <c r="BF245" s="1"/>
      <c r="BG245" s="1"/>
      <c r="BK245" s="1">
        <f t="shared" si="249"/>
        <v>1230</v>
      </c>
      <c r="BL245" s="20">
        <f t="shared" si="250"/>
        <v>895280</v>
      </c>
      <c r="BM245">
        <f>VLOOKUP(BK245,'Hazard Weighting Functions'!$B$5:$G$1205,4,FALSE)</f>
        <v>0.02</v>
      </c>
      <c r="BN245">
        <f t="shared" si="262"/>
        <v>17905.600000000002</v>
      </c>
      <c r="BO245" s="19">
        <f t="shared" si="246"/>
        <v>89244.4</v>
      </c>
      <c r="BP245" s="20">
        <f t="shared" si="251"/>
        <v>1110</v>
      </c>
      <c r="BQ245" s="20">
        <f t="shared" si="251"/>
        <v>1031551.9999999998</v>
      </c>
      <c r="BR245" s="19">
        <f>VLOOKUP(BP245,'Hazard Weighting Functions'!$B$5:$G$1205,4,FALSE)</f>
        <v>0.2</v>
      </c>
      <c r="BS245" s="19">
        <f t="shared" si="263"/>
        <v>206310.39999999997</v>
      </c>
      <c r="BT245" s="19">
        <f t="shared" si="264"/>
        <v>1028824</v>
      </c>
    </row>
    <row r="246" spans="2:72">
      <c r="B246">
        <v>985</v>
      </c>
      <c r="C246" s="36">
        <v>144.10499999999999</v>
      </c>
      <c r="E246">
        <v>985</v>
      </c>
      <c r="F246" s="36">
        <v>144.10499999999999</v>
      </c>
      <c r="H246" s="19">
        <v>985</v>
      </c>
      <c r="I246" s="36">
        <v>144.10499999999999</v>
      </c>
      <c r="K246">
        <v>2085</v>
      </c>
      <c r="L246" s="36">
        <f>400.577712*(1628/1602)</f>
        <v>407.07897324344566</v>
      </c>
      <c r="N246">
        <v>1235</v>
      </c>
      <c r="O246" s="36">
        <v>889607.99999999977</v>
      </c>
      <c r="Q246" s="20">
        <v>1115</v>
      </c>
      <c r="R246" s="37">
        <v>1026096</v>
      </c>
      <c r="V246">
        <f t="shared" si="252"/>
        <v>985</v>
      </c>
      <c r="W246">
        <f t="shared" si="253"/>
        <v>144.10499999999999</v>
      </c>
      <c r="Y246">
        <f t="shared" si="254"/>
        <v>985</v>
      </c>
      <c r="Z246">
        <f t="shared" si="255"/>
        <v>144.10499999999999</v>
      </c>
      <c r="AK246">
        <f t="shared" si="247"/>
        <v>719.34749999999997</v>
      </c>
      <c r="AM246">
        <f t="shared" si="248"/>
        <v>719.34749999999997</v>
      </c>
      <c r="BF246" s="1"/>
      <c r="BG246" s="1"/>
      <c r="BK246" s="1">
        <f t="shared" si="249"/>
        <v>1235</v>
      </c>
      <c r="BL246" s="20">
        <f t="shared" si="250"/>
        <v>889607.99999999977</v>
      </c>
      <c r="BM246">
        <f>VLOOKUP(BK246,'Hazard Weighting Functions'!$B$5:$G$1205,4,FALSE)</f>
        <v>0.02</v>
      </c>
      <c r="BN246">
        <f t="shared" si="262"/>
        <v>17792.159999999996</v>
      </c>
      <c r="BO246" s="19">
        <f t="shared" si="246"/>
        <v>88677.2</v>
      </c>
      <c r="BP246" s="20">
        <f t="shared" si="251"/>
        <v>1115</v>
      </c>
      <c r="BQ246" s="20">
        <f t="shared" si="251"/>
        <v>1026096</v>
      </c>
      <c r="BR246" s="19">
        <f>VLOOKUP(BP246,'Hazard Weighting Functions'!$B$5:$G$1205,4,FALSE)</f>
        <v>0.2</v>
      </c>
      <c r="BS246" s="19">
        <f t="shared" si="263"/>
        <v>205219.20000000001</v>
      </c>
      <c r="BT246" s="19">
        <f t="shared" si="264"/>
        <v>1023348</v>
      </c>
    </row>
    <row r="247" spans="2:72">
      <c r="B247">
        <v>990</v>
      </c>
      <c r="C247" s="36">
        <v>143.63399999999999</v>
      </c>
      <c r="E247">
        <v>990</v>
      </c>
      <c r="F247" s="36">
        <v>143.63399999999999</v>
      </c>
      <c r="H247" s="19">
        <v>990</v>
      </c>
      <c r="I247" s="36">
        <v>143.63399999999999</v>
      </c>
      <c r="K247">
        <v>2090</v>
      </c>
      <c r="L247" s="36">
        <f>397.6521*(1628/1602)</f>
        <v>404.10587940074902</v>
      </c>
      <c r="N247">
        <v>1240</v>
      </c>
      <c r="O247" s="36">
        <v>883936</v>
      </c>
      <c r="Q247" s="20">
        <v>1120</v>
      </c>
      <c r="R247" s="37">
        <v>1020600</v>
      </c>
      <c r="V247">
        <f t="shared" si="252"/>
        <v>990</v>
      </c>
      <c r="W247">
        <f t="shared" si="253"/>
        <v>143.63399999999999</v>
      </c>
      <c r="Y247">
        <f t="shared" si="254"/>
        <v>990</v>
      </c>
      <c r="Z247">
        <f t="shared" si="255"/>
        <v>143.63399999999999</v>
      </c>
      <c r="AK247">
        <f t="shared" si="247"/>
        <v>716.95749999999998</v>
      </c>
      <c r="AM247">
        <f t="shared" si="248"/>
        <v>716.95749999999998</v>
      </c>
      <c r="BF247" s="1"/>
      <c r="BG247" s="1"/>
      <c r="BK247" s="1">
        <f t="shared" si="249"/>
        <v>1240</v>
      </c>
      <c r="BL247" s="20">
        <f t="shared" si="250"/>
        <v>883936</v>
      </c>
      <c r="BM247">
        <f>VLOOKUP(BK247,'Hazard Weighting Functions'!$B$5:$G$1205,4,FALSE)</f>
        <v>0.02</v>
      </c>
      <c r="BN247">
        <f t="shared" si="262"/>
        <v>17678.72</v>
      </c>
      <c r="BO247" s="19">
        <f t="shared" si="246"/>
        <v>88110.400000000009</v>
      </c>
      <c r="BP247" s="20">
        <f t="shared" si="251"/>
        <v>1120</v>
      </c>
      <c r="BQ247" s="20">
        <f t="shared" si="251"/>
        <v>1020600</v>
      </c>
      <c r="BR247" s="19">
        <f>VLOOKUP(BP247,'Hazard Weighting Functions'!$B$5:$G$1205,4,FALSE)</f>
        <v>0.2</v>
      </c>
      <c r="BS247" s="19">
        <f t="shared" si="263"/>
        <v>204120</v>
      </c>
      <c r="BT247" s="19">
        <f t="shared" si="264"/>
        <v>1017832.0000000001</v>
      </c>
    </row>
    <row r="248" spans="2:72">
      <c r="B248">
        <v>995</v>
      </c>
      <c r="C248" s="36">
        <v>143.149</v>
      </c>
      <c r="E248">
        <v>995</v>
      </c>
      <c r="F248" s="36">
        <v>143.149</v>
      </c>
      <c r="H248" s="19">
        <v>995</v>
      </c>
      <c r="I248" s="36">
        <v>143.149</v>
      </c>
      <c r="K248">
        <v>2095</v>
      </c>
      <c r="L248" s="36">
        <f>394.7475*(1628/1602)</f>
        <v>401.15413857677902</v>
      </c>
      <c r="N248">
        <v>1245</v>
      </c>
      <c r="O248" s="36">
        <v>878272</v>
      </c>
      <c r="Q248" s="20">
        <v>1125</v>
      </c>
      <c r="R248" s="37">
        <v>1015064</v>
      </c>
      <c r="V248">
        <f t="shared" si="252"/>
        <v>995</v>
      </c>
      <c r="W248">
        <f t="shared" si="253"/>
        <v>143.149</v>
      </c>
      <c r="Y248">
        <f t="shared" si="254"/>
        <v>995</v>
      </c>
      <c r="Z248">
        <f t="shared" si="255"/>
        <v>143.149</v>
      </c>
      <c r="AK248">
        <f t="shared" si="247"/>
        <v>714.49749999999995</v>
      </c>
      <c r="AM248">
        <f t="shared" si="248"/>
        <v>714.49749999999995</v>
      </c>
      <c r="BF248" s="1"/>
      <c r="BG248" s="1"/>
      <c r="BK248" s="1">
        <f t="shared" si="249"/>
        <v>1245</v>
      </c>
      <c r="BL248" s="20">
        <f t="shared" si="250"/>
        <v>878272</v>
      </c>
      <c r="BM248">
        <f>VLOOKUP(BK248,'Hazard Weighting Functions'!$B$5:$G$1205,4,FALSE)</f>
        <v>0.02</v>
      </c>
      <c r="BN248">
        <f t="shared" si="262"/>
        <v>17565.439999999999</v>
      </c>
      <c r="BO248" s="19">
        <f t="shared" si="246"/>
        <v>87543.999999999971</v>
      </c>
      <c r="BP248" s="20">
        <f t="shared" si="251"/>
        <v>1125</v>
      </c>
      <c r="BQ248" s="20">
        <f t="shared" si="251"/>
        <v>1015064</v>
      </c>
      <c r="BR248" s="19">
        <f>VLOOKUP(BP248,'Hazard Weighting Functions'!$B$5:$G$1205,4,FALSE)</f>
        <v>0.2</v>
      </c>
      <c r="BS248" s="19">
        <f t="shared" si="263"/>
        <v>203012.80000000002</v>
      </c>
      <c r="BT248" s="19">
        <f t="shared" si="264"/>
        <v>1012280</v>
      </c>
    </row>
    <row r="249" spans="2:72">
      <c r="B249">
        <v>1000</v>
      </c>
      <c r="C249" s="36">
        <v>142.65</v>
      </c>
      <c r="E249">
        <v>1000</v>
      </c>
      <c r="F249" s="36">
        <v>142.65</v>
      </c>
      <c r="H249" s="19">
        <v>1000</v>
      </c>
      <c r="I249" s="36">
        <v>142.65</v>
      </c>
      <c r="K249">
        <v>2100</v>
      </c>
      <c r="L249" s="36">
        <f>391.865148*(1628/1602)</f>
        <v>398.22500683146063</v>
      </c>
      <c r="N249">
        <v>1250</v>
      </c>
      <c r="O249" s="36">
        <v>872607.99999999977</v>
      </c>
      <c r="Q249" s="20">
        <v>1130</v>
      </c>
      <c r="R249" s="37">
        <v>1009496</v>
      </c>
      <c r="V249">
        <f t="shared" si="252"/>
        <v>1000</v>
      </c>
      <c r="W249">
        <f t="shared" si="253"/>
        <v>142.65</v>
      </c>
      <c r="Y249">
        <f t="shared" si="254"/>
        <v>1000</v>
      </c>
      <c r="Z249">
        <f t="shared" si="255"/>
        <v>142.65</v>
      </c>
      <c r="AK249">
        <f t="shared" si="247"/>
        <v>711.94500000000005</v>
      </c>
      <c r="AM249">
        <f t="shared" si="248"/>
        <v>711.94500000000005</v>
      </c>
      <c r="BF249" s="1"/>
      <c r="BG249" s="1"/>
      <c r="BK249" s="1">
        <f t="shared" si="249"/>
        <v>1250</v>
      </c>
      <c r="BL249" s="20">
        <f t="shared" si="250"/>
        <v>872607.99999999977</v>
      </c>
      <c r="BM249">
        <f>VLOOKUP(BK249,'Hazard Weighting Functions'!$B$5:$G$1205,4,FALSE)</f>
        <v>0.02</v>
      </c>
      <c r="BN249">
        <f t="shared" si="262"/>
        <v>17452.159999999996</v>
      </c>
      <c r="BO249" s="19">
        <f t="shared" si="246"/>
        <v>86977.599999999977</v>
      </c>
      <c r="BP249" s="20">
        <f t="shared" si="251"/>
        <v>1130</v>
      </c>
      <c r="BQ249" s="20">
        <f t="shared" si="251"/>
        <v>1009496</v>
      </c>
      <c r="BR249" s="19">
        <f>VLOOKUP(BP249,'Hazard Weighting Functions'!$B$5:$G$1205,4,FALSE)</f>
        <v>0.2</v>
      </c>
      <c r="BS249" s="19">
        <f t="shared" si="263"/>
        <v>201899.2</v>
      </c>
      <c r="BT249" s="19">
        <f t="shared" si="264"/>
        <v>1006700</v>
      </c>
    </row>
    <row r="250" spans="2:72">
      <c r="B250">
        <v>1005</v>
      </c>
      <c r="C250" s="36">
        <v>142.12799999999999</v>
      </c>
      <c r="E250">
        <v>1005</v>
      </c>
      <c r="F250" s="36">
        <v>142.12799999999999</v>
      </c>
      <c r="H250" s="19">
        <v>1005</v>
      </c>
      <c r="I250" s="36">
        <v>142.12799999999999</v>
      </c>
      <c r="K250">
        <v>2105</v>
      </c>
      <c r="L250" s="36">
        <f>389.00628*(1628/1602)</f>
        <v>395.31974022471911</v>
      </c>
      <c r="N250">
        <v>1255</v>
      </c>
      <c r="O250" s="36">
        <v>866944</v>
      </c>
      <c r="Q250" s="20">
        <v>1135</v>
      </c>
      <c r="R250" s="37">
        <v>1003904</v>
      </c>
      <c r="V250">
        <f t="shared" si="252"/>
        <v>1005</v>
      </c>
      <c r="W250">
        <f t="shared" si="253"/>
        <v>142.12799999999999</v>
      </c>
      <c r="Y250">
        <f t="shared" si="254"/>
        <v>1005</v>
      </c>
      <c r="Z250">
        <f t="shared" si="255"/>
        <v>142.12799999999999</v>
      </c>
      <c r="AK250">
        <f t="shared" si="247"/>
        <v>709.30250000000001</v>
      </c>
      <c r="AM250">
        <f t="shared" si="248"/>
        <v>709.30250000000001</v>
      </c>
      <c r="BF250" s="1"/>
      <c r="BG250" s="1"/>
      <c r="BK250" s="1">
        <f t="shared" si="249"/>
        <v>1255</v>
      </c>
      <c r="BL250" s="20">
        <f t="shared" si="250"/>
        <v>866944</v>
      </c>
      <c r="BM250">
        <f>VLOOKUP(BK250,'Hazard Weighting Functions'!$B$5:$G$1205,4,FALSE)</f>
        <v>0.02</v>
      </c>
      <c r="BN250">
        <f t="shared" si="262"/>
        <v>17338.88</v>
      </c>
      <c r="BO250" s="19">
        <f t="shared" si="246"/>
        <v>86411.6</v>
      </c>
      <c r="BP250" s="20">
        <f t="shared" si="251"/>
        <v>1135</v>
      </c>
      <c r="BQ250" s="20">
        <f t="shared" si="251"/>
        <v>1003904</v>
      </c>
      <c r="BR250" s="19">
        <f>VLOOKUP(BP250,'Hazard Weighting Functions'!$B$5:$G$1205,4,FALSE)</f>
        <v>0.2</v>
      </c>
      <c r="BS250" s="19">
        <f t="shared" si="263"/>
        <v>200780.80000000002</v>
      </c>
      <c r="BT250" s="19">
        <f t="shared" si="264"/>
        <v>1001092.0000000001</v>
      </c>
    </row>
    <row r="251" spans="2:72">
      <c r="B251">
        <v>1010</v>
      </c>
      <c r="C251" s="36">
        <v>141.59299999999999</v>
      </c>
      <c r="E251">
        <v>1010</v>
      </c>
      <c r="F251" s="36">
        <v>141.59299999999999</v>
      </c>
      <c r="H251" s="19">
        <v>1010</v>
      </c>
      <c r="I251" s="36">
        <v>141.59299999999999</v>
      </c>
      <c r="K251">
        <v>2110</v>
      </c>
      <c r="L251" s="36">
        <f>386.168424*(1628/1602)</f>
        <v>392.43582663670418</v>
      </c>
      <c r="N251">
        <v>1260</v>
      </c>
      <c r="O251" s="36">
        <v>861288</v>
      </c>
      <c r="Q251" s="20">
        <v>1140</v>
      </c>
      <c r="R251" s="37">
        <v>998280</v>
      </c>
      <c r="V251">
        <f t="shared" si="252"/>
        <v>1010</v>
      </c>
      <c r="W251">
        <f t="shared" si="253"/>
        <v>141.59299999999999</v>
      </c>
      <c r="Y251">
        <f t="shared" si="254"/>
        <v>1010</v>
      </c>
      <c r="Z251">
        <f t="shared" si="255"/>
        <v>141.59299999999999</v>
      </c>
      <c r="AK251">
        <f t="shared" si="247"/>
        <v>706.59750000000008</v>
      </c>
      <c r="AM251">
        <f t="shared" si="248"/>
        <v>706.59750000000008</v>
      </c>
      <c r="BF251" s="1"/>
      <c r="BG251" s="1"/>
      <c r="BK251" s="1">
        <f t="shared" si="249"/>
        <v>1260</v>
      </c>
      <c r="BL251" s="20">
        <f t="shared" si="250"/>
        <v>861288</v>
      </c>
      <c r="BM251">
        <f>VLOOKUP(BK251,'Hazard Weighting Functions'!$B$5:$G$1205,4,FALSE)</f>
        <v>0.02</v>
      </c>
      <c r="BN251">
        <f t="shared" si="262"/>
        <v>17225.760000000002</v>
      </c>
      <c r="BO251" s="19">
        <f t="shared" si="246"/>
        <v>85846.8</v>
      </c>
      <c r="BP251" s="20">
        <f t="shared" si="251"/>
        <v>1140</v>
      </c>
      <c r="BQ251" s="20">
        <f t="shared" si="251"/>
        <v>998280</v>
      </c>
      <c r="BR251" s="19">
        <f>VLOOKUP(BP251,'Hazard Weighting Functions'!$B$5:$G$1205,4,FALSE)</f>
        <v>0.2</v>
      </c>
      <c r="BS251" s="19">
        <f t="shared" si="263"/>
        <v>199656</v>
      </c>
      <c r="BT251" s="19">
        <f t="shared" si="264"/>
        <v>995455.99999999988</v>
      </c>
    </row>
    <row r="252" spans="2:72">
      <c r="B252">
        <v>1015</v>
      </c>
      <c r="C252" s="36">
        <v>141.04599999999999</v>
      </c>
      <c r="E252">
        <v>1015</v>
      </c>
      <c r="F252" s="36">
        <v>141.04599999999999</v>
      </c>
      <c r="H252" s="19">
        <v>1015</v>
      </c>
      <c r="I252" s="36">
        <v>141.04599999999999</v>
      </c>
      <c r="K252">
        <v>2115</v>
      </c>
      <c r="L252" s="36">
        <f>383.35158*(1628/1602)</f>
        <v>389.57326606741577</v>
      </c>
      <c r="N252">
        <v>1265</v>
      </c>
      <c r="O252" s="36">
        <v>855648</v>
      </c>
      <c r="Q252" s="20">
        <v>1145</v>
      </c>
      <c r="R252" s="37">
        <v>992631.99999999977</v>
      </c>
      <c r="V252">
        <f t="shared" si="252"/>
        <v>1015</v>
      </c>
      <c r="W252">
        <f t="shared" si="253"/>
        <v>141.04599999999999</v>
      </c>
      <c r="Y252">
        <f t="shared" si="254"/>
        <v>1015</v>
      </c>
      <c r="Z252">
        <f t="shared" si="255"/>
        <v>141.04599999999999</v>
      </c>
      <c r="AK252">
        <f t="shared" si="247"/>
        <v>703.83249999999998</v>
      </c>
      <c r="AM252">
        <f t="shared" si="248"/>
        <v>703.83249999999998</v>
      </c>
      <c r="BF252" s="1"/>
      <c r="BG252" s="1"/>
      <c r="BK252" s="1">
        <f t="shared" si="249"/>
        <v>1265</v>
      </c>
      <c r="BL252" s="20">
        <f t="shared" si="250"/>
        <v>855648</v>
      </c>
      <c r="BM252">
        <f>VLOOKUP(BK252,'Hazard Weighting Functions'!$B$5:$G$1205,4,FALSE)</f>
        <v>0.02</v>
      </c>
      <c r="BN252">
        <f t="shared" si="262"/>
        <v>17112.96</v>
      </c>
      <c r="BO252" s="19">
        <f t="shared" si="246"/>
        <v>85282.799999999988</v>
      </c>
      <c r="BP252" s="20">
        <f t="shared" si="251"/>
        <v>1145</v>
      </c>
      <c r="BQ252" s="20">
        <f t="shared" si="251"/>
        <v>992631.99999999977</v>
      </c>
      <c r="BR252" s="19">
        <f>VLOOKUP(BP252,'Hazard Weighting Functions'!$B$5:$G$1205,4,FALSE)</f>
        <v>0.2</v>
      </c>
      <c r="BS252" s="19">
        <f t="shared" si="263"/>
        <v>198526.39999999997</v>
      </c>
      <c r="BT252" s="19">
        <f t="shared" si="264"/>
        <v>989792</v>
      </c>
    </row>
    <row r="253" spans="2:72">
      <c r="B253">
        <v>1020</v>
      </c>
      <c r="C253" s="36">
        <v>140.48699999999999</v>
      </c>
      <c r="E253">
        <v>1020</v>
      </c>
      <c r="F253" s="36">
        <v>140.48699999999999</v>
      </c>
      <c r="H253" s="19">
        <v>1020</v>
      </c>
      <c r="I253" s="36">
        <v>140.48699999999999</v>
      </c>
      <c r="K253">
        <v>2120</v>
      </c>
      <c r="L253" s="36">
        <f>380.55822*(1628/1602)</f>
        <v>386.73457063670412</v>
      </c>
      <c r="N253">
        <v>1270</v>
      </c>
      <c r="O253" s="36">
        <v>850008</v>
      </c>
      <c r="Q253" s="20">
        <v>1150</v>
      </c>
      <c r="R253" s="37">
        <v>986952</v>
      </c>
      <c r="V253">
        <f t="shared" si="252"/>
        <v>1020</v>
      </c>
      <c r="W253">
        <f t="shared" si="253"/>
        <v>140.48699999999999</v>
      </c>
      <c r="Y253">
        <f t="shared" si="254"/>
        <v>1020</v>
      </c>
      <c r="Z253">
        <f t="shared" si="255"/>
        <v>140.48699999999999</v>
      </c>
      <c r="AK253">
        <f t="shared" si="247"/>
        <v>701.01</v>
      </c>
      <c r="AM253">
        <f t="shared" si="248"/>
        <v>701.01</v>
      </c>
      <c r="BF253" s="1"/>
      <c r="BG253" s="1"/>
      <c r="BK253" s="1">
        <f t="shared" si="249"/>
        <v>1270</v>
      </c>
      <c r="BL253" s="20">
        <f t="shared" si="250"/>
        <v>850008</v>
      </c>
      <c r="BM253">
        <f>VLOOKUP(BK253,'Hazard Weighting Functions'!$B$5:$G$1205,4,FALSE)</f>
        <v>0.02</v>
      </c>
      <c r="BN253">
        <f t="shared" si="262"/>
        <v>17000.16</v>
      </c>
      <c r="BO253" s="19">
        <f t="shared" si="246"/>
        <v>84719.2</v>
      </c>
      <c r="BP253" s="20">
        <f t="shared" si="251"/>
        <v>1150</v>
      </c>
      <c r="BQ253" s="20">
        <f t="shared" si="251"/>
        <v>986952</v>
      </c>
      <c r="BR253" s="19">
        <f>VLOOKUP(BP253,'Hazard Weighting Functions'!$B$5:$G$1205,4,FALSE)</f>
        <v>0.2</v>
      </c>
      <c r="BS253" s="19">
        <f t="shared" si="263"/>
        <v>197390.40000000002</v>
      </c>
      <c r="BT253" s="19">
        <f t="shared" si="264"/>
        <v>883525.26000000013</v>
      </c>
    </row>
    <row r="254" spans="2:72">
      <c r="B254">
        <v>1025</v>
      </c>
      <c r="C254" s="36">
        <v>139.917</v>
      </c>
      <c r="E254">
        <v>1025</v>
      </c>
      <c r="F254" s="36">
        <v>139.917</v>
      </c>
      <c r="H254" s="19">
        <v>1025</v>
      </c>
      <c r="I254" s="36">
        <v>139.917</v>
      </c>
      <c r="K254">
        <v>2125</v>
      </c>
      <c r="L254" s="36">
        <f>377.784636*(1628/1602)</f>
        <v>383.91597216479403</v>
      </c>
      <c r="N254">
        <v>1275</v>
      </c>
      <c r="O254" s="36">
        <v>844376</v>
      </c>
      <c r="Q254" s="20">
        <v>1155</v>
      </c>
      <c r="R254" s="37">
        <v>981256</v>
      </c>
      <c r="V254">
        <f t="shared" si="252"/>
        <v>1025</v>
      </c>
      <c r="W254">
        <f t="shared" si="253"/>
        <v>139.917</v>
      </c>
      <c r="Y254">
        <f t="shared" si="254"/>
        <v>1025</v>
      </c>
      <c r="Z254">
        <f t="shared" si="255"/>
        <v>139.917</v>
      </c>
      <c r="AK254">
        <f t="shared" si="247"/>
        <v>698.13250000000016</v>
      </c>
      <c r="AM254">
        <f t="shared" si="248"/>
        <v>698.13250000000016</v>
      </c>
      <c r="BF254" s="1"/>
      <c r="BG254" s="1"/>
      <c r="BK254" s="1">
        <f t="shared" si="249"/>
        <v>1275</v>
      </c>
      <c r="BL254" s="20">
        <f t="shared" si="250"/>
        <v>844376</v>
      </c>
      <c r="BM254">
        <f>VLOOKUP(BK254,'Hazard Weighting Functions'!$B$5:$G$1205,4,FALSE)</f>
        <v>0.02</v>
      </c>
      <c r="BN254">
        <f t="shared" si="262"/>
        <v>16887.52</v>
      </c>
      <c r="BO254" s="19">
        <f t="shared" si="246"/>
        <v>84156.4</v>
      </c>
      <c r="BP254" s="20">
        <f t="shared" si="251"/>
        <v>1155</v>
      </c>
      <c r="BQ254" s="20">
        <f t="shared" si="251"/>
        <v>981256</v>
      </c>
      <c r="BR254" s="19">
        <f>VLOOKUP(BP254,'Hazard Weighting Functions'!$B$5:$G$1205,4,FALSE)</f>
        <v>0.159</v>
      </c>
      <c r="BS254" s="19">
        <f t="shared" si="263"/>
        <v>156019.704</v>
      </c>
      <c r="BT254" s="19">
        <f t="shared" si="264"/>
        <v>697343.1</v>
      </c>
    </row>
    <row r="255" spans="2:72">
      <c r="B255">
        <v>1030</v>
      </c>
      <c r="C255" s="36">
        <v>139.33600000000001</v>
      </c>
      <c r="E255">
        <v>1030</v>
      </c>
      <c r="F255" s="36">
        <v>139.33600000000001</v>
      </c>
      <c r="H255" s="19">
        <v>1030</v>
      </c>
      <c r="I255" s="36">
        <v>139.33600000000001</v>
      </c>
      <c r="K255">
        <v>2130</v>
      </c>
      <c r="L255" s="36">
        <f>375.0333*(1628/1602)</f>
        <v>381.1199827715356</v>
      </c>
      <c r="N255">
        <v>1280</v>
      </c>
      <c r="O255" s="36">
        <v>838751.99999999988</v>
      </c>
      <c r="Q255" s="20">
        <v>1160</v>
      </c>
      <c r="R255" s="37">
        <v>975535.99999999977</v>
      </c>
      <c r="V255">
        <f t="shared" si="252"/>
        <v>1030</v>
      </c>
      <c r="W255">
        <f t="shared" si="253"/>
        <v>139.33600000000001</v>
      </c>
      <c r="Y255">
        <f t="shared" si="254"/>
        <v>1030</v>
      </c>
      <c r="Z255">
        <f t="shared" si="255"/>
        <v>139.33600000000001</v>
      </c>
      <c r="AK255">
        <f t="shared" si="247"/>
        <v>695.2025000000001</v>
      </c>
      <c r="AM255">
        <f t="shared" si="248"/>
        <v>695.2025000000001</v>
      </c>
      <c r="BF255" s="1"/>
      <c r="BG255" s="1"/>
      <c r="BK255" s="1">
        <f t="shared" si="249"/>
        <v>1280</v>
      </c>
      <c r="BL255" s="20">
        <f t="shared" si="250"/>
        <v>838751.99999999988</v>
      </c>
      <c r="BM255">
        <f>VLOOKUP(BK255,'Hazard Weighting Functions'!$B$5:$G$1205,4,FALSE)</f>
        <v>0.02</v>
      </c>
      <c r="BN255">
        <f t="shared" si="262"/>
        <v>16775.039999999997</v>
      </c>
      <c r="BO255" s="19">
        <f t="shared" si="246"/>
        <v>83594.399999999994</v>
      </c>
      <c r="BP255" s="20">
        <f t="shared" si="251"/>
        <v>1160</v>
      </c>
      <c r="BQ255" s="20">
        <f t="shared" si="251"/>
        <v>975535.99999999977</v>
      </c>
      <c r="BR255" s="19">
        <f>VLOOKUP(BP255,'Hazard Weighting Functions'!$B$5:$G$1205,4,FALSE)</f>
        <v>0.126</v>
      </c>
      <c r="BS255" s="19">
        <f t="shared" si="263"/>
        <v>122917.53599999998</v>
      </c>
      <c r="BT255" s="19">
        <f t="shared" si="264"/>
        <v>549743.83999999985</v>
      </c>
    </row>
    <row r="256" spans="2:72">
      <c r="B256">
        <v>1035</v>
      </c>
      <c r="C256" s="36">
        <v>138.745</v>
      </c>
      <c r="E256">
        <v>1035</v>
      </c>
      <c r="F256" s="36">
        <v>138.745</v>
      </c>
      <c r="H256" s="19">
        <v>1035</v>
      </c>
      <c r="I256" s="36">
        <v>138.745</v>
      </c>
      <c r="K256">
        <v>2135</v>
      </c>
      <c r="L256" s="36">
        <f>372.30174*(1628/1602)</f>
        <v>378.34409033707868</v>
      </c>
      <c r="N256">
        <v>1285</v>
      </c>
      <c r="O256" s="36">
        <v>833135.99999999988</v>
      </c>
      <c r="Q256" s="20">
        <v>1165</v>
      </c>
      <c r="R256" s="37">
        <v>969800</v>
      </c>
      <c r="V256">
        <f t="shared" si="252"/>
        <v>1035</v>
      </c>
      <c r="W256">
        <f t="shared" si="253"/>
        <v>138.745</v>
      </c>
      <c r="Y256">
        <f t="shared" si="254"/>
        <v>1035</v>
      </c>
      <c r="Z256">
        <f t="shared" si="255"/>
        <v>138.745</v>
      </c>
      <c r="AK256">
        <f t="shared" si="247"/>
        <v>692.22250000000008</v>
      </c>
      <c r="AM256">
        <f t="shared" si="248"/>
        <v>692.22250000000008</v>
      </c>
      <c r="BF256" s="1"/>
      <c r="BG256" s="1"/>
      <c r="BK256" s="1">
        <f t="shared" si="249"/>
        <v>1285</v>
      </c>
      <c r="BL256" s="20">
        <f t="shared" si="250"/>
        <v>833135.99999999988</v>
      </c>
      <c r="BM256">
        <f>VLOOKUP(BK256,'Hazard Weighting Functions'!$B$5:$G$1205,4,FALSE)</f>
        <v>0.02</v>
      </c>
      <c r="BN256">
        <f t="shared" si="262"/>
        <v>16662.719999999998</v>
      </c>
      <c r="BO256" s="19">
        <f t="shared" si="246"/>
        <v>83033.599999999991</v>
      </c>
      <c r="BP256" s="20">
        <f t="shared" si="251"/>
        <v>1165</v>
      </c>
      <c r="BQ256" s="20">
        <f t="shared" si="251"/>
        <v>969800</v>
      </c>
      <c r="BR256" s="19">
        <f>VLOOKUP(BP256,'Hazard Weighting Functions'!$B$5:$G$1205,4,FALSE)</f>
        <v>0.1</v>
      </c>
      <c r="BS256" s="19">
        <f t="shared" si="263"/>
        <v>96980</v>
      </c>
      <c r="BT256" s="19">
        <f t="shared" si="264"/>
        <v>435259.6</v>
      </c>
    </row>
    <row r="257" spans="2:72">
      <c r="B257">
        <v>1040</v>
      </c>
      <c r="C257" s="36">
        <v>138.14400000000001</v>
      </c>
      <c r="E257">
        <v>1040</v>
      </c>
      <c r="F257" s="36">
        <v>138.14400000000001</v>
      </c>
      <c r="H257" s="19">
        <v>1040</v>
      </c>
      <c r="I257" s="36">
        <v>138.14400000000001</v>
      </c>
      <c r="K257">
        <v>2140</v>
      </c>
      <c r="L257" s="36">
        <f>369.592428*(1628/1602)</f>
        <v>375.59080698127343</v>
      </c>
      <c r="N257">
        <v>1290</v>
      </c>
      <c r="O257" s="36">
        <v>827535.99999999988</v>
      </c>
      <c r="Q257" s="20">
        <v>1170</v>
      </c>
      <c r="R257" s="37">
        <v>964048</v>
      </c>
      <c r="V257">
        <f t="shared" si="252"/>
        <v>1040</v>
      </c>
      <c r="W257">
        <f t="shared" si="253"/>
        <v>138.14400000000001</v>
      </c>
      <c r="Y257">
        <f t="shared" si="254"/>
        <v>1040</v>
      </c>
      <c r="Z257">
        <f t="shared" si="255"/>
        <v>138.14400000000001</v>
      </c>
      <c r="AK257">
        <f t="shared" si="247"/>
        <v>689.19250000000011</v>
      </c>
      <c r="AM257">
        <f t="shared" si="248"/>
        <v>689.19250000000011</v>
      </c>
      <c r="BF257" s="1"/>
      <c r="BG257" s="1"/>
      <c r="BK257" s="1">
        <f t="shared" si="249"/>
        <v>1290</v>
      </c>
      <c r="BL257" s="20">
        <f t="shared" si="250"/>
        <v>827535.99999999988</v>
      </c>
      <c r="BM257">
        <f>VLOOKUP(BK257,'Hazard Weighting Functions'!$B$5:$G$1205,4,FALSE)</f>
        <v>0.02</v>
      </c>
      <c r="BN257">
        <f t="shared" si="262"/>
        <v>16550.719999999998</v>
      </c>
      <c r="BO257" s="19">
        <f t="shared" si="246"/>
        <v>82474.399999999994</v>
      </c>
      <c r="BP257" s="20">
        <f t="shared" si="251"/>
        <v>1170</v>
      </c>
      <c r="BQ257" s="20">
        <f t="shared" si="251"/>
        <v>964048</v>
      </c>
      <c r="BR257" s="19">
        <f>VLOOKUP(BP257,'Hazard Weighting Functions'!$B$5:$G$1205,4,FALSE)</f>
        <v>0.08</v>
      </c>
      <c r="BS257" s="19">
        <f t="shared" si="263"/>
        <v>77123.839999999997</v>
      </c>
      <c r="BT257" s="19">
        <f t="shared" si="264"/>
        <v>343738.69999999995</v>
      </c>
    </row>
    <row r="258" spans="2:72">
      <c r="B258">
        <v>1045</v>
      </c>
      <c r="C258" s="36">
        <v>137.53299999999999</v>
      </c>
      <c r="E258">
        <v>1045</v>
      </c>
      <c r="F258" s="36">
        <v>137.53299999999999</v>
      </c>
      <c r="H258" s="19">
        <v>1045</v>
      </c>
      <c r="I258" s="36">
        <v>137.53299999999999</v>
      </c>
      <c r="K258">
        <v>2145</v>
      </c>
      <c r="L258" s="36">
        <f>366.902892*(1628/1602)</f>
        <v>372.85762058426968</v>
      </c>
      <c r="N258">
        <v>1295</v>
      </c>
      <c r="O258" s="36">
        <v>821952</v>
      </c>
      <c r="Q258" s="20">
        <v>1175</v>
      </c>
      <c r="R258" s="37">
        <v>958280</v>
      </c>
      <c r="V258">
        <f t="shared" si="252"/>
        <v>1045</v>
      </c>
      <c r="W258">
        <f t="shared" si="253"/>
        <v>137.53299999999999</v>
      </c>
      <c r="Y258">
        <f t="shared" si="254"/>
        <v>1045</v>
      </c>
      <c r="Z258">
        <f t="shared" si="255"/>
        <v>137.53299999999999</v>
      </c>
      <c r="AK258">
        <f t="shared" si="247"/>
        <v>686.11500000000001</v>
      </c>
      <c r="AM258">
        <f t="shared" si="248"/>
        <v>686.11500000000001</v>
      </c>
      <c r="BF258" s="1"/>
      <c r="BG258" s="1"/>
      <c r="BK258" s="1">
        <f t="shared" si="249"/>
        <v>1295</v>
      </c>
      <c r="BL258" s="20">
        <f t="shared" si="250"/>
        <v>821952</v>
      </c>
      <c r="BM258">
        <f>VLOOKUP(BK258,'Hazard Weighting Functions'!$B$5:$G$1205,4,FALSE)</f>
        <v>0.02</v>
      </c>
      <c r="BN258">
        <f t="shared" si="262"/>
        <v>16439.04</v>
      </c>
      <c r="BO258" s="19">
        <f t="shared" si="246"/>
        <v>81916.399999999994</v>
      </c>
      <c r="BP258" s="20">
        <f t="shared" si="251"/>
        <v>1175</v>
      </c>
      <c r="BQ258" s="20">
        <f t="shared" si="251"/>
        <v>958280</v>
      </c>
      <c r="BR258" s="19">
        <f>VLOOKUP(BP258,'Hazard Weighting Functions'!$B$5:$G$1205,4,FALSE)</f>
        <v>6.3E-2</v>
      </c>
      <c r="BS258" s="19">
        <f t="shared" si="263"/>
        <v>60371.64</v>
      </c>
      <c r="BT258" s="19">
        <f t="shared" si="264"/>
        <v>269991.09999999998</v>
      </c>
    </row>
    <row r="259" spans="2:72">
      <c r="B259">
        <v>1050</v>
      </c>
      <c r="C259" s="36">
        <v>136.91300000000001</v>
      </c>
      <c r="E259">
        <v>1050</v>
      </c>
      <c r="F259" s="36">
        <v>136.91300000000001</v>
      </c>
      <c r="H259" s="19">
        <v>1050</v>
      </c>
      <c r="I259" s="36">
        <v>136.91300000000001</v>
      </c>
      <c r="K259">
        <v>2150</v>
      </c>
      <c r="L259" s="36">
        <f>364.234368*(1628/1602)</f>
        <v>370.14578720599252</v>
      </c>
      <c r="N259">
        <v>1300</v>
      </c>
      <c r="O259" s="36">
        <v>816375.99999999988</v>
      </c>
      <c r="Q259" s="20">
        <v>1180</v>
      </c>
      <c r="R259" s="37">
        <v>952496</v>
      </c>
      <c r="V259">
        <f t="shared" si="252"/>
        <v>1050</v>
      </c>
      <c r="W259">
        <f t="shared" si="253"/>
        <v>136.91300000000001</v>
      </c>
      <c r="Y259">
        <f t="shared" si="254"/>
        <v>1050</v>
      </c>
      <c r="Z259">
        <f t="shared" si="255"/>
        <v>136.91300000000001</v>
      </c>
      <c r="AK259">
        <f t="shared" si="247"/>
        <v>682.99499999999989</v>
      </c>
      <c r="AM259">
        <f t="shared" si="248"/>
        <v>682.99499999999989</v>
      </c>
      <c r="BF259" s="1"/>
      <c r="BG259" s="1"/>
      <c r="BK259" s="1">
        <f t="shared" si="249"/>
        <v>1300</v>
      </c>
      <c r="BL259" s="20">
        <f t="shared" si="250"/>
        <v>816375.99999999988</v>
      </c>
      <c r="BM259">
        <f>VLOOKUP(BK259,'Hazard Weighting Functions'!$B$5:$G$1205,4,FALSE)</f>
        <v>0.02</v>
      </c>
      <c r="BN259">
        <f t="shared" si="262"/>
        <v>16327.519999999999</v>
      </c>
      <c r="BO259" s="19">
        <f t="shared" si="246"/>
        <v>81363.599999999991</v>
      </c>
      <c r="BP259" s="20">
        <f t="shared" si="251"/>
        <v>1180</v>
      </c>
      <c r="BQ259" s="20">
        <f t="shared" si="251"/>
        <v>952496</v>
      </c>
      <c r="BR259" s="19">
        <f>VLOOKUP(BP259,'Hazard Weighting Functions'!$B$5:$G$1205,4,FALSE)</f>
        <v>0.05</v>
      </c>
      <c r="BS259" s="19">
        <f t="shared" si="263"/>
        <v>47624.800000000003</v>
      </c>
      <c r="BT259" s="19">
        <f t="shared" si="264"/>
        <v>213732.39999999997</v>
      </c>
    </row>
    <row r="260" spans="2:72">
      <c r="B260">
        <v>1055</v>
      </c>
      <c r="C260" s="36">
        <v>136.285</v>
      </c>
      <c r="E260">
        <v>1055</v>
      </c>
      <c r="F260" s="36">
        <v>136.285</v>
      </c>
      <c r="H260" s="19">
        <v>1055</v>
      </c>
      <c r="I260" s="36">
        <v>136.285</v>
      </c>
      <c r="K260">
        <v>2155</v>
      </c>
      <c r="L260" s="36">
        <f>361.586856*(1628/1602)</f>
        <v>367.455306846442</v>
      </c>
      <c r="N260">
        <v>1305</v>
      </c>
      <c r="O260" s="36">
        <v>810895.99999999988</v>
      </c>
      <c r="Q260" s="20">
        <v>1185</v>
      </c>
      <c r="R260" s="37">
        <v>946703.99999999977</v>
      </c>
      <c r="V260">
        <f t="shared" si="252"/>
        <v>1055</v>
      </c>
      <c r="W260">
        <f t="shared" si="253"/>
        <v>136.285</v>
      </c>
      <c r="Y260">
        <f t="shared" si="254"/>
        <v>1055</v>
      </c>
      <c r="Z260">
        <f t="shared" si="255"/>
        <v>136.285</v>
      </c>
      <c r="AK260">
        <f t="shared" si="247"/>
        <v>679.83249999999998</v>
      </c>
      <c r="AM260">
        <f t="shared" si="248"/>
        <v>679.83249999999998</v>
      </c>
      <c r="BF260" s="1"/>
      <c r="BG260" s="1"/>
      <c r="BK260" s="1">
        <f t="shared" si="249"/>
        <v>1305</v>
      </c>
      <c r="BL260" s="20">
        <f t="shared" si="250"/>
        <v>810895.99999999988</v>
      </c>
      <c r="BM260">
        <f>VLOOKUP(BK260,'Hazard Weighting Functions'!$B$5:$G$1205,4,FALSE)</f>
        <v>0.02</v>
      </c>
      <c r="BN260">
        <f t="shared" si="262"/>
        <v>16217.919999999998</v>
      </c>
      <c r="BO260" s="19">
        <f t="shared" si="246"/>
        <v>80816.800000000003</v>
      </c>
      <c r="BP260" s="20">
        <f t="shared" si="251"/>
        <v>1185</v>
      </c>
      <c r="BQ260" s="20">
        <f t="shared" si="251"/>
        <v>946703.99999999977</v>
      </c>
      <c r="BR260" s="19">
        <f>VLOOKUP(BP260,'Hazard Weighting Functions'!$B$5:$G$1205,4,FALSE)</f>
        <v>0.04</v>
      </c>
      <c r="BS260" s="19">
        <f t="shared" si="263"/>
        <v>37868.159999999989</v>
      </c>
      <c r="BT260" s="19">
        <f t="shared" si="264"/>
        <v>169942.08</v>
      </c>
    </row>
    <row r="261" spans="2:72">
      <c r="B261">
        <v>1060</v>
      </c>
      <c r="C261" s="36">
        <v>135.648</v>
      </c>
      <c r="E261">
        <v>1060</v>
      </c>
      <c r="F261" s="36">
        <v>135.648</v>
      </c>
      <c r="H261" s="19">
        <v>1060</v>
      </c>
      <c r="I261" s="36">
        <v>135.648</v>
      </c>
      <c r="K261">
        <v>2160</v>
      </c>
      <c r="L261" s="36">
        <f>358.95912*(1628/1602)</f>
        <v>364.78492344569287</v>
      </c>
      <c r="N261">
        <v>1310</v>
      </c>
      <c r="O261" s="36">
        <v>805440</v>
      </c>
      <c r="Q261" s="20">
        <v>1190</v>
      </c>
      <c r="R261" s="37">
        <v>940896</v>
      </c>
      <c r="V261">
        <f t="shared" si="252"/>
        <v>1060</v>
      </c>
      <c r="W261">
        <f t="shared" si="253"/>
        <v>135.648</v>
      </c>
      <c r="Y261">
        <f t="shared" si="254"/>
        <v>1060</v>
      </c>
      <c r="Z261">
        <f t="shared" si="255"/>
        <v>135.648</v>
      </c>
      <c r="AK261">
        <f t="shared" si="247"/>
        <v>676.62749999999983</v>
      </c>
      <c r="AM261">
        <f t="shared" si="248"/>
        <v>676.62749999999983</v>
      </c>
      <c r="BF261" s="1"/>
      <c r="BG261" s="1"/>
      <c r="BK261" s="1">
        <f t="shared" si="249"/>
        <v>1310</v>
      </c>
      <c r="BL261" s="20">
        <f t="shared" si="250"/>
        <v>805440</v>
      </c>
      <c r="BM261">
        <f>VLOOKUP(BK261,'Hazard Weighting Functions'!$B$5:$G$1205,4,FALSE)</f>
        <v>0.02</v>
      </c>
      <c r="BN261">
        <f t="shared" si="262"/>
        <v>16108.800000000001</v>
      </c>
      <c r="BO261" s="19">
        <f t="shared" ref="BO261:BO278" si="265">0.5*(BK262-BK261)*(BN261+BN262)</f>
        <v>80271.600000000006</v>
      </c>
      <c r="BP261" s="20">
        <f t="shared" si="251"/>
        <v>1190</v>
      </c>
      <c r="BQ261" s="20">
        <f t="shared" si="251"/>
        <v>940896</v>
      </c>
      <c r="BR261" s="19">
        <f>VLOOKUP(BP261,'Hazard Weighting Functions'!$B$5:$G$1205,4,FALSE)</f>
        <v>3.2000000000000001E-2</v>
      </c>
      <c r="BS261" s="19">
        <f t="shared" si="263"/>
        <v>30108.672000000002</v>
      </c>
      <c r="BT261" s="19">
        <f t="shared" si="264"/>
        <v>133714.18000000002</v>
      </c>
    </row>
    <row r="262" spans="2:72">
      <c r="B262">
        <v>1065</v>
      </c>
      <c r="C262" s="36">
        <v>135.00299999999999</v>
      </c>
      <c r="E262">
        <v>1065</v>
      </c>
      <c r="F262" s="36">
        <v>135.00299999999999</v>
      </c>
      <c r="H262" s="19">
        <v>1065</v>
      </c>
      <c r="I262" s="36">
        <v>135.00299999999999</v>
      </c>
      <c r="K262">
        <v>2165</v>
      </c>
      <c r="L262" s="36">
        <f>356.352396*(1628/1602)</f>
        <v>362.13589306367044</v>
      </c>
      <c r="N262">
        <v>1315</v>
      </c>
      <c r="O262" s="36">
        <v>799991.99999999988</v>
      </c>
      <c r="Q262" s="20">
        <v>1195</v>
      </c>
      <c r="R262" s="37">
        <v>935080</v>
      </c>
      <c r="V262">
        <f t="shared" si="252"/>
        <v>1065</v>
      </c>
      <c r="W262">
        <f t="shared" si="253"/>
        <v>135.00299999999999</v>
      </c>
      <c r="Y262">
        <f t="shared" si="254"/>
        <v>1065</v>
      </c>
      <c r="Z262">
        <f t="shared" si="255"/>
        <v>135.00299999999999</v>
      </c>
      <c r="AK262">
        <f t="shared" si="247"/>
        <v>673.38499999999999</v>
      </c>
      <c r="AM262">
        <f t="shared" si="248"/>
        <v>673.38499999999999</v>
      </c>
      <c r="BF262" s="1"/>
      <c r="BG262" s="1"/>
      <c r="BK262" s="1">
        <f t="shared" si="249"/>
        <v>1315</v>
      </c>
      <c r="BL262" s="20">
        <f t="shared" si="250"/>
        <v>799991.99999999988</v>
      </c>
      <c r="BM262">
        <f>VLOOKUP(BK262,'Hazard Weighting Functions'!$B$5:$G$1205,4,FALSE)</f>
        <v>0.02</v>
      </c>
      <c r="BN262">
        <f t="shared" si="262"/>
        <v>15999.839999999998</v>
      </c>
      <c r="BO262" s="19">
        <f t="shared" si="265"/>
        <v>79727.599999999991</v>
      </c>
      <c r="BP262" s="20">
        <f t="shared" si="251"/>
        <v>1195</v>
      </c>
      <c r="BQ262" s="20">
        <f t="shared" si="251"/>
        <v>935080</v>
      </c>
      <c r="BR262" s="19">
        <f>VLOOKUP(BP262,'Hazard Weighting Functions'!$B$5:$G$1205,4,FALSE)</f>
        <v>2.5000000000000001E-2</v>
      </c>
      <c r="BS262" s="19">
        <f t="shared" si="263"/>
        <v>23377</v>
      </c>
      <c r="BT262" s="19">
        <f t="shared" si="264"/>
        <v>104905.29999999999</v>
      </c>
    </row>
    <row r="263" spans="2:72">
      <c r="B263">
        <v>1070</v>
      </c>
      <c r="C263" s="36">
        <v>134.351</v>
      </c>
      <c r="E263">
        <v>1070</v>
      </c>
      <c r="F263" s="36">
        <v>134.351</v>
      </c>
      <c r="H263" s="19">
        <v>1070</v>
      </c>
      <c r="I263" s="36">
        <v>134.351</v>
      </c>
      <c r="K263">
        <v>2170</v>
      </c>
      <c r="L263" s="36">
        <f>353.765448*(1628/1602)</f>
        <v>359.50695964044945</v>
      </c>
      <c r="N263">
        <v>1320</v>
      </c>
      <c r="O263" s="36">
        <v>794559.99999999988</v>
      </c>
      <c r="Q263" s="20">
        <v>1200</v>
      </c>
      <c r="R263" s="37">
        <v>929256</v>
      </c>
      <c r="V263">
        <f t="shared" si="252"/>
        <v>1070</v>
      </c>
      <c r="W263">
        <f t="shared" si="253"/>
        <v>134.351</v>
      </c>
      <c r="Y263">
        <f t="shared" si="254"/>
        <v>1070</v>
      </c>
      <c r="Z263">
        <f t="shared" si="255"/>
        <v>134.351</v>
      </c>
      <c r="AK263">
        <f t="shared" si="247"/>
        <v>670.10500000000002</v>
      </c>
      <c r="AM263">
        <f t="shared" si="248"/>
        <v>670.10500000000002</v>
      </c>
      <c r="BF263" s="1"/>
      <c r="BG263" s="1"/>
      <c r="BK263" s="1">
        <f t="shared" si="249"/>
        <v>1320</v>
      </c>
      <c r="BL263" s="20">
        <f t="shared" si="250"/>
        <v>794559.99999999988</v>
      </c>
      <c r="BM263">
        <f>VLOOKUP(BK263,'Hazard Weighting Functions'!$B$5:$G$1205,4,FALSE)</f>
        <v>0.02</v>
      </c>
      <c r="BN263">
        <f t="shared" si="262"/>
        <v>15891.199999999999</v>
      </c>
      <c r="BO263" s="19">
        <f t="shared" si="265"/>
        <v>79185.16</v>
      </c>
      <c r="BP263" s="20">
        <f t="shared" si="251"/>
        <v>1200</v>
      </c>
      <c r="BQ263" s="20">
        <f t="shared" si="251"/>
        <v>929256</v>
      </c>
      <c r="BR263" s="19">
        <f>VLOOKUP(BP263,'Hazard Weighting Functions'!$B$5:$G$1205,4,FALSE)</f>
        <v>0.02</v>
      </c>
      <c r="BS263" s="19">
        <f t="shared" si="263"/>
        <v>18585.12</v>
      </c>
      <c r="BT263" s="19">
        <f t="shared" si="264"/>
        <v>92643.199999999997</v>
      </c>
    </row>
    <row r="264" spans="2:72">
      <c r="B264">
        <v>1075</v>
      </c>
      <c r="C264" s="36">
        <v>133.691</v>
      </c>
      <c r="E264">
        <v>1075</v>
      </c>
      <c r="F264" s="36">
        <v>133.691</v>
      </c>
      <c r="H264" s="19">
        <v>1075</v>
      </c>
      <c r="I264" s="36">
        <v>133.691</v>
      </c>
      <c r="K264">
        <v>2175</v>
      </c>
      <c r="L264" s="36">
        <f>351.19704*(1628/1602)</f>
        <v>356.89686711610489</v>
      </c>
      <c r="N264">
        <v>1325</v>
      </c>
      <c r="O264" s="36">
        <v>789143.2</v>
      </c>
      <c r="Q264" s="20">
        <v>1205</v>
      </c>
      <c r="R264" s="37">
        <v>923607.99999999977</v>
      </c>
      <c r="V264">
        <f t="shared" si="252"/>
        <v>1075</v>
      </c>
      <c r="W264">
        <f t="shared" si="253"/>
        <v>133.691</v>
      </c>
      <c r="Y264">
        <f t="shared" si="254"/>
        <v>1075</v>
      </c>
      <c r="Z264">
        <f t="shared" si="255"/>
        <v>133.691</v>
      </c>
      <c r="AK264">
        <f t="shared" si="247"/>
        <v>666.78750000000014</v>
      </c>
      <c r="AM264">
        <f t="shared" si="248"/>
        <v>666.78750000000014</v>
      </c>
      <c r="BF264" s="1"/>
      <c r="BG264" s="1"/>
      <c r="BK264" s="1">
        <f t="shared" si="249"/>
        <v>1325</v>
      </c>
      <c r="BL264" s="20">
        <f t="shared" si="250"/>
        <v>789143.2</v>
      </c>
      <c r="BM264">
        <f>VLOOKUP(BK264,'Hazard Weighting Functions'!$B$5:$G$1205,4,FALSE)</f>
        <v>0.02</v>
      </c>
      <c r="BN264">
        <f t="shared" si="262"/>
        <v>15782.864</v>
      </c>
      <c r="BO264" s="19">
        <f t="shared" si="265"/>
        <v>78644.239999999991</v>
      </c>
      <c r="BP264" s="20">
        <f t="shared" si="251"/>
        <v>1205</v>
      </c>
      <c r="BQ264" s="20">
        <f t="shared" si="251"/>
        <v>923607.99999999977</v>
      </c>
      <c r="BR264" s="19">
        <f>VLOOKUP(BP264,'Hazard Weighting Functions'!$B$5:$G$1205,4,FALSE)</f>
        <v>0.02</v>
      </c>
      <c r="BS264" s="19">
        <f t="shared" si="263"/>
        <v>18472.159999999996</v>
      </c>
      <c r="BT264" s="19">
        <f t="shared" si="264"/>
        <v>92077.599999999977</v>
      </c>
    </row>
    <row r="265" spans="2:72">
      <c r="B265">
        <v>1080</v>
      </c>
      <c r="C265" s="36">
        <v>133.024</v>
      </c>
      <c r="E265">
        <v>1080</v>
      </c>
      <c r="F265" s="36">
        <v>133.024</v>
      </c>
      <c r="H265" s="19">
        <v>1080</v>
      </c>
      <c r="I265" s="36">
        <v>133.024</v>
      </c>
      <c r="K265">
        <v>2180</v>
      </c>
      <c r="L265" s="36">
        <f>348.649644*(1628/1602)</f>
        <v>354.30812761048685</v>
      </c>
      <c r="N265">
        <v>1330</v>
      </c>
      <c r="O265" s="36">
        <v>783741.59999999986</v>
      </c>
      <c r="Q265" s="20">
        <v>1210</v>
      </c>
      <c r="R265" s="37">
        <v>917944</v>
      </c>
      <c r="V265">
        <f t="shared" si="252"/>
        <v>1080</v>
      </c>
      <c r="W265">
        <f t="shared" si="253"/>
        <v>133.024</v>
      </c>
      <c r="Y265">
        <f t="shared" si="254"/>
        <v>1080</v>
      </c>
      <c r="Z265">
        <f t="shared" si="255"/>
        <v>133.024</v>
      </c>
      <c r="AK265">
        <f t="shared" si="247"/>
        <v>663.4375</v>
      </c>
      <c r="AM265">
        <f t="shared" si="248"/>
        <v>663.4375</v>
      </c>
      <c r="BF265" s="1"/>
      <c r="BG265" s="1"/>
      <c r="BK265" s="1">
        <f t="shared" si="249"/>
        <v>1330</v>
      </c>
      <c r="BL265" s="20">
        <f t="shared" si="250"/>
        <v>783741.59999999986</v>
      </c>
      <c r="BM265">
        <f>VLOOKUP(BK265,'Hazard Weighting Functions'!$B$5:$G$1205,4,FALSE)</f>
        <v>0.02</v>
      </c>
      <c r="BN265">
        <f t="shared" si="262"/>
        <v>15674.831999999997</v>
      </c>
      <c r="BO265" s="19">
        <f t="shared" si="265"/>
        <v>78104.92</v>
      </c>
      <c r="BP265" s="20">
        <f t="shared" si="251"/>
        <v>1210</v>
      </c>
      <c r="BQ265" s="20">
        <f t="shared" si="251"/>
        <v>917944</v>
      </c>
      <c r="BR265" s="19">
        <f>VLOOKUP(BP265,'Hazard Weighting Functions'!$B$5:$G$1205,4,FALSE)</f>
        <v>0.02</v>
      </c>
      <c r="BS265" s="19">
        <f t="shared" si="263"/>
        <v>18358.88</v>
      </c>
      <c r="BT265" s="19">
        <f t="shared" si="264"/>
        <v>91511.200000000012</v>
      </c>
    </row>
    <row r="266" spans="2:72">
      <c r="B266">
        <v>1085</v>
      </c>
      <c r="C266" s="36">
        <v>132.351</v>
      </c>
      <c r="E266">
        <v>1085</v>
      </c>
      <c r="F266" s="36">
        <v>132.351</v>
      </c>
      <c r="H266" s="19">
        <v>1085</v>
      </c>
      <c r="I266" s="36">
        <v>132.351</v>
      </c>
      <c r="K266">
        <v>2185</v>
      </c>
      <c r="L266" s="36">
        <f>346.122024*(1628/1602)</f>
        <v>351.73948506367043</v>
      </c>
      <c r="N266">
        <v>1335</v>
      </c>
      <c r="O266" s="36">
        <v>778356.8</v>
      </c>
      <c r="Q266" s="20">
        <v>1215</v>
      </c>
      <c r="R266" s="37">
        <v>912280</v>
      </c>
      <c r="V266">
        <f t="shared" si="252"/>
        <v>1085</v>
      </c>
      <c r="W266">
        <f t="shared" si="253"/>
        <v>132.351</v>
      </c>
      <c r="Y266">
        <f t="shared" si="254"/>
        <v>1085</v>
      </c>
      <c r="Z266">
        <f t="shared" si="255"/>
        <v>132.351</v>
      </c>
      <c r="AK266">
        <f t="shared" si="247"/>
        <v>660.05499999999995</v>
      </c>
      <c r="AM266">
        <f t="shared" si="248"/>
        <v>660.05499999999995</v>
      </c>
      <c r="BF266" s="1"/>
      <c r="BG266" s="1"/>
      <c r="BK266" s="1">
        <f t="shared" si="249"/>
        <v>1335</v>
      </c>
      <c r="BL266" s="20">
        <f t="shared" si="250"/>
        <v>778356.8</v>
      </c>
      <c r="BM266">
        <f>VLOOKUP(BK266,'Hazard Weighting Functions'!$B$5:$G$1205,4,FALSE)</f>
        <v>0.02</v>
      </c>
      <c r="BN266">
        <f t="shared" si="262"/>
        <v>15567.136</v>
      </c>
      <c r="BO266" s="19">
        <f t="shared" si="265"/>
        <v>77567.28</v>
      </c>
      <c r="BP266" s="20">
        <f t="shared" si="251"/>
        <v>1215</v>
      </c>
      <c r="BQ266" s="20">
        <f t="shared" si="251"/>
        <v>912280</v>
      </c>
      <c r="BR266" s="19">
        <f>VLOOKUP(BP266,'Hazard Weighting Functions'!$B$5:$G$1205,4,FALSE)</f>
        <v>0.02</v>
      </c>
      <c r="BS266" s="19">
        <f t="shared" si="263"/>
        <v>18245.600000000002</v>
      </c>
      <c r="BT266" s="19">
        <f t="shared" si="264"/>
        <v>90944.799999999988</v>
      </c>
    </row>
    <row r="267" spans="2:72">
      <c r="B267">
        <v>1090</v>
      </c>
      <c r="C267" s="36">
        <v>131.67099999999999</v>
      </c>
      <c r="E267">
        <v>1090</v>
      </c>
      <c r="F267" s="36">
        <v>131.67099999999999</v>
      </c>
      <c r="H267" s="19">
        <v>1090</v>
      </c>
      <c r="I267" s="36">
        <v>131.67099999999999</v>
      </c>
      <c r="K267">
        <v>2190</v>
      </c>
      <c r="L267" s="36">
        <f>343.612944*(1628/1602)</f>
        <v>349.18968341573031</v>
      </c>
      <c r="N267">
        <v>1340</v>
      </c>
      <c r="O267" s="36">
        <v>772988.79999999993</v>
      </c>
      <c r="Q267" s="20">
        <v>1220</v>
      </c>
      <c r="R267" s="37">
        <v>906616</v>
      </c>
      <c r="V267">
        <f t="shared" si="252"/>
        <v>1090</v>
      </c>
      <c r="W267">
        <f t="shared" si="253"/>
        <v>131.67099999999999</v>
      </c>
      <c r="Y267">
        <f t="shared" si="254"/>
        <v>1090</v>
      </c>
      <c r="Z267">
        <f t="shared" si="255"/>
        <v>131.67099999999999</v>
      </c>
      <c r="AK267">
        <f t="shared" si="247"/>
        <v>656.64249999999993</v>
      </c>
      <c r="AM267">
        <f t="shared" si="248"/>
        <v>656.64249999999993</v>
      </c>
      <c r="BF267" s="1"/>
      <c r="BG267" s="1"/>
      <c r="BK267" s="1">
        <f t="shared" si="249"/>
        <v>1340</v>
      </c>
      <c r="BL267" s="20">
        <f t="shared" si="250"/>
        <v>772988.79999999993</v>
      </c>
      <c r="BM267">
        <f>VLOOKUP(BK267,'Hazard Weighting Functions'!$B$5:$G$1205,4,FALSE)</f>
        <v>0.02</v>
      </c>
      <c r="BN267">
        <f t="shared" si="262"/>
        <v>15459.775999999998</v>
      </c>
      <c r="BO267" s="19">
        <f t="shared" si="265"/>
        <v>77031.399999999994</v>
      </c>
      <c r="BP267" s="20">
        <f t="shared" si="251"/>
        <v>1220</v>
      </c>
      <c r="BQ267" s="20">
        <f t="shared" si="251"/>
        <v>906616</v>
      </c>
      <c r="BR267" s="19">
        <f>VLOOKUP(BP267,'Hazard Weighting Functions'!$B$5:$G$1205,4,FALSE)</f>
        <v>0.02</v>
      </c>
      <c r="BS267" s="19">
        <f t="shared" si="263"/>
        <v>18132.32</v>
      </c>
      <c r="BT267" s="19">
        <f t="shared" si="264"/>
        <v>90378</v>
      </c>
    </row>
    <row r="268" spans="2:72">
      <c r="B268">
        <v>1095</v>
      </c>
      <c r="C268" s="36">
        <v>130.98599999999999</v>
      </c>
      <c r="E268">
        <v>1095</v>
      </c>
      <c r="F268" s="36">
        <v>130.98599999999999</v>
      </c>
      <c r="H268" s="19">
        <v>1095</v>
      </c>
      <c r="I268" s="36">
        <v>130.98599999999999</v>
      </c>
      <c r="K268">
        <v>2195</v>
      </c>
      <c r="L268" s="36">
        <f>341.122404*(1628/1602)</f>
        <v>346.65872266666668</v>
      </c>
      <c r="N268">
        <v>1345</v>
      </c>
      <c r="O268" s="36">
        <v>767639.2</v>
      </c>
      <c r="Q268" s="20">
        <v>1225</v>
      </c>
      <c r="R268" s="37">
        <v>900944</v>
      </c>
      <c r="V268">
        <f t="shared" si="252"/>
        <v>1095</v>
      </c>
      <c r="W268">
        <f t="shared" si="253"/>
        <v>130.98599999999999</v>
      </c>
      <c r="Y268">
        <f t="shared" si="254"/>
        <v>1095</v>
      </c>
      <c r="Z268">
        <f t="shared" si="255"/>
        <v>130.98599999999999</v>
      </c>
      <c r="AK268">
        <f t="shared" si="247"/>
        <v>653.20249999999987</v>
      </c>
      <c r="AM268">
        <f t="shared" si="248"/>
        <v>653.20249999999987</v>
      </c>
      <c r="BF268" s="1"/>
      <c r="BG268" s="1"/>
      <c r="BK268" s="1">
        <f t="shared" si="249"/>
        <v>1345</v>
      </c>
      <c r="BL268" s="20">
        <f t="shared" si="250"/>
        <v>767639.2</v>
      </c>
      <c r="BM268">
        <f>VLOOKUP(BK268,'Hazard Weighting Functions'!$B$5:$G$1205,4,FALSE)</f>
        <v>0.02</v>
      </c>
      <c r="BN268">
        <f t="shared" si="262"/>
        <v>15352.784</v>
      </c>
      <c r="BO268" s="19">
        <f t="shared" si="265"/>
        <v>76497.320000000007</v>
      </c>
      <c r="BP268" s="20">
        <f t="shared" si="251"/>
        <v>1225</v>
      </c>
      <c r="BQ268" s="20">
        <f t="shared" si="251"/>
        <v>900944</v>
      </c>
      <c r="BR268" s="19">
        <f>VLOOKUP(BP268,'Hazard Weighting Functions'!$B$5:$G$1205,4,FALSE)</f>
        <v>0.02</v>
      </c>
      <c r="BS268" s="19">
        <f t="shared" si="263"/>
        <v>18018.88</v>
      </c>
      <c r="BT268" s="19">
        <f t="shared" si="264"/>
        <v>89811.200000000012</v>
      </c>
    </row>
    <row r="269" spans="2:72">
      <c r="B269">
        <v>1100</v>
      </c>
      <c r="C269" s="36">
        <v>130.29499999999999</v>
      </c>
      <c r="E269">
        <v>1100</v>
      </c>
      <c r="F269" s="36">
        <v>130.29499999999999</v>
      </c>
      <c r="H269" s="19">
        <v>1100</v>
      </c>
      <c r="I269" s="36">
        <v>130.29499999999999</v>
      </c>
      <c r="K269">
        <v>2200</v>
      </c>
      <c r="L269" s="36">
        <f>338.65164*(1628/1602)</f>
        <v>344.14785887640454</v>
      </c>
      <c r="N269">
        <v>1350</v>
      </c>
      <c r="O269" s="36">
        <v>762307.2</v>
      </c>
      <c r="Q269" s="20">
        <v>1230</v>
      </c>
      <c r="R269" s="37">
        <v>895280</v>
      </c>
      <c r="V269">
        <f t="shared" si="252"/>
        <v>1100</v>
      </c>
      <c r="W269">
        <f t="shared" si="253"/>
        <v>130.29499999999999</v>
      </c>
      <c r="Y269">
        <f t="shared" si="254"/>
        <v>1100</v>
      </c>
      <c r="Z269">
        <f t="shared" si="255"/>
        <v>130.29499999999999</v>
      </c>
      <c r="AK269">
        <f t="shared" ref="AK269:AK332" si="266">0.5*(V270-V269)*(W269+W270)</f>
        <v>651.90888247800763</v>
      </c>
      <c r="AM269">
        <f t="shared" ref="AM269:AM332" si="267">0.5*(V270-V269)*(W269+W270)</f>
        <v>651.90888247800763</v>
      </c>
      <c r="BF269" s="1"/>
      <c r="BG269" s="1"/>
      <c r="BK269" s="1">
        <f t="shared" si="249"/>
        <v>1350</v>
      </c>
      <c r="BL269" s="20">
        <f t="shared" si="250"/>
        <v>762307.2</v>
      </c>
      <c r="BM269">
        <f>VLOOKUP(BK269,'Hazard Weighting Functions'!$B$5:$G$1205,4,FALSE)</f>
        <v>0.02</v>
      </c>
      <c r="BN269">
        <f t="shared" si="262"/>
        <v>15246.144</v>
      </c>
      <c r="BO269" s="19">
        <f t="shared" si="265"/>
        <v>75965.039999999994</v>
      </c>
      <c r="BP269" s="20">
        <f t="shared" si="251"/>
        <v>1230</v>
      </c>
      <c r="BQ269" s="20">
        <f t="shared" si="251"/>
        <v>895280</v>
      </c>
      <c r="BR269" s="19">
        <f>VLOOKUP(BP269,'Hazard Weighting Functions'!$B$5:$G$1205,4,FALSE)</f>
        <v>0.02</v>
      </c>
      <c r="BS269" s="19">
        <f t="shared" si="263"/>
        <v>17905.600000000002</v>
      </c>
      <c r="BT269" s="19">
        <f t="shared" si="264"/>
        <v>89244.4</v>
      </c>
    </row>
    <row r="270" spans="2:72">
      <c r="K270">
        <v>2205</v>
      </c>
      <c r="L270" s="36">
        <f>336.363804*(1628/1602)</f>
        <v>341.82289195505615</v>
      </c>
      <c r="N270">
        <v>1355</v>
      </c>
      <c r="O270" s="36">
        <v>756993.6</v>
      </c>
      <c r="Q270" s="20">
        <v>1235</v>
      </c>
      <c r="R270" s="37">
        <v>889607.99999999977</v>
      </c>
      <c r="V270">
        <f>K50</f>
        <v>1105</v>
      </c>
      <c r="W270" s="19">
        <f>IF(L49=0,0,L49/$T$51)</f>
        <v>130.46855299120301</v>
      </c>
      <c r="Y270">
        <f t="shared" ref="Y270:Y333" si="268">V270</f>
        <v>1105</v>
      </c>
      <c r="Z270">
        <f t="shared" ref="Z270:Z333" si="269">W270</f>
        <v>130.46855299120301</v>
      </c>
      <c r="AK270">
        <f t="shared" si="266"/>
        <v>650.25135889559101</v>
      </c>
      <c r="AM270">
        <f t="shared" si="267"/>
        <v>650.25135889559101</v>
      </c>
      <c r="BF270" s="1"/>
      <c r="BG270" s="1"/>
      <c r="BK270" s="1">
        <f t="shared" si="249"/>
        <v>1355</v>
      </c>
      <c r="BL270" s="20">
        <f t="shared" si="250"/>
        <v>756993.6</v>
      </c>
      <c r="BM270">
        <f>VLOOKUP(BK270,'Hazard Weighting Functions'!$B$5:$G$1205,4,FALSE)</f>
        <v>0.02</v>
      </c>
      <c r="BN270">
        <f t="shared" si="262"/>
        <v>15139.871999999999</v>
      </c>
      <c r="BO270" s="19">
        <f t="shared" si="265"/>
        <v>75434.679999999993</v>
      </c>
      <c r="BP270" s="20">
        <f t="shared" si="251"/>
        <v>1235</v>
      </c>
      <c r="BQ270" s="20">
        <f t="shared" si="251"/>
        <v>889607.99999999977</v>
      </c>
      <c r="BR270" s="19">
        <f>VLOOKUP(BP270,'Hazard Weighting Functions'!$B$5:$G$1205,4,FALSE)</f>
        <v>0.02</v>
      </c>
      <c r="BS270" s="19">
        <f t="shared" si="263"/>
        <v>17792.159999999996</v>
      </c>
      <c r="BT270" s="19">
        <f t="shared" si="264"/>
        <v>88677.2</v>
      </c>
    </row>
    <row r="271" spans="2:72">
      <c r="K271">
        <v>2210</v>
      </c>
      <c r="L271" s="36">
        <f>334.0908*(1628/1602)</f>
        <v>339.51299775280899</v>
      </c>
      <c r="N271">
        <v>1360</v>
      </c>
      <c r="O271" s="36">
        <v>751700</v>
      </c>
      <c r="Q271" s="20">
        <v>1240</v>
      </c>
      <c r="R271" s="37">
        <v>883936</v>
      </c>
      <c r="V271">
        <f>K51</f>
        <v>1110</v>
      </c>
      <c r="W271" s="26">
        <f t="shared" ref="W271:W334" si="270">IF(L50=0,0,L50/$T$51)</f>
        <v>129.63199056703334</v>
      </c>
      <c r="Y271">
        <f t="shared" si="268"/>
        <v>1110</v>
      </c>
      <c r="Z271">
        <f t="shared" si="269"/>
        <v>129.63199056703334</v>
      </c>
      <c r="AK271">
        <f t="shared" si="266"/>
        <v>646.46482219367749</v>
      </c>
      <c r="AM271">
        <f t="shared" si="267"/>
        <v>646.46482219367749</v>
      </c>
      <c r="BF271" s="1"/>
      <c r="BG271" s="1"/>
      <c r="BK271" s="1">
        <f t="shared" si="249"/>
        <v>1360</v>
      </c>
      <c r="BL271" s="20">
        <f t="shared" si="250"/>
        <v>751700</v>
      </c>
      <c r="BM271">
        <f>VLOOKUP(BK271,'Hazard Weighting Functions'!$B$5:$G$1205,4,FALSE)</f>
        <v>0.02</v>
      </c>
      <c r="BN271">
        <f t="shared" si="262"/>
        <v>15034</v>
      </c>
      <c r="BO271" s="19">
        <f t="shared" si="265"/>
        <v>74906.239999999991</v>
      </c>
      <c r="BP271" s="20">
        <f t="shared" si="251"/>
        <v>1240</v>
      </c>
      <c r="BQ271" s="20">
        <f t="shared" si="251"/>
        <v>883936</v>
      </c>
      <c r="BR271" s="19">
        <f>VLOOKUP(BP271,'Hazard Weighting Functions'!$B$5:$G$1205,4,FALSE)</f>
        <v>0.02</v>
      </c>
      <c r="BS271" s="19">
        <f t="shared" si="263"/>
        <v>17678.72</v>
      </c>
      <c r="BT271" s="19">
        <f t="shared" si="264"/>
        <v>88110.400000000009</v>
      </c>
    </row>
    <row r="272" spans="2:72">
      <c r="K272">
        <v>2215</v>
      </c>
      <c r="L272" s="36">
        <f>331.8351*(1628/1602)</f>
        <v>337.22068838951316</v>
      </c>
      <c r="N272">
        <v>1365</v>
      </c>
      <c r="O272" s="36">
        <v>746424.8</v>
      </c>
      <c r="Q272" s="20">
        <v>1245</v>
      </c>
      <c r="R272" s="37">
        <v>878272</v>
      </c>
      <c r="V272">
        <f>K52</f>
        <v>1115</v>
      </c>
      <c r="W272" s="26">
        <f t="shared" si="270"/>
        <v>128.95393831043765</v>
      </c>
      <c r="Y272">
        <f t="shared" si="268"/>
        <v>1115</v>
      </c>
      <c r="Z272">
        <f t="shared" si="269"/>
        <v>128.95393831043765</v>
      </c>
      <c r="AK272">
        <f t="shared" si="266"/>
        <v>643.06456013995273</v>
      </c>
      <c r="AM272">
        <f t="shared" si="267"/>
        <v>643.06456013995273</v>
      </c>
      <c r="BF272" s="1"/>
      <c r="BG272" s="1"/>
      <c r="BK272" s="1">
        <f t="shared" si="249"/>
        <v>1365</v>
      </c>
      <c r="BL272" s="20">
        <f t="shared" si="250"/>
        <v>746424.8</v>
      </c>
      <c r="BM272">
        <f>VLOOKUP(BK272,'Hazard Weighting Functions'!$B$5:$G$1205,4,FALSE)</f>
        <v>0.02</v>
      </c>
      <c r="BN272">
        <f t="shared" si="262"/>
        <v>14928.496000000001</v>
      </c>
      <c r="BO272" s="19">
        <f t="shared" si="265"/>
        <v>74379.799999999988</v>
      </c>
      <c r="BP272" s="20">
        <f t="shared" si="251"/>
        <v>1245</v>
      </c>
      <c r="BQ272" s="20">
        <f t="shared" si="251"/>
        <v>878272</v>
      </c>
      <c r="BR272" s="19">
        <f>VLOOKUP(BP272,'Hazard Weighting Functions'!$B$5:$G$1205,4,FALSE)</f>
        <v>0.02</v>
      </c>
      <c r="BS272" s="19">
        <f t="shared" si="263"/>
        <v>17565.439999999999</v>
      </c>
      <c r="BT272" s="19">
        <f t="shared" si="264"/>
        <v>87543.999999999971</v>
      </c>
    </row>
    <row r="273" spans="11:72">
      <c r="K273">
        <v>2220</v>
      </c>
      <c r="L273" s="36">
        <f>329.596704*(1628/1602)</f>
        <v>334.94596386516855</v>
      </c>
      <c r="N273">
        <v>1370</v>
      </c>
      <c r="O273" s="36">
        <v>741171.19999999995</v>
      </c>
      <c r="Q273" s="20">
        <v>1250</v>
      </c>
      <c r="R273" s="37">
        <v>872607.99999999977</v>
      </c>
      <c r="V273">
        <f>K53</f>
        <v>1120</v>
      </c>
      <c r="W273" s="26">
        <f t="shared" si="270"/>
        <v>128.27188574554344</v>
      </c>
      <c r="Y273">
        <f t="shared" si="268"/>
        <v>1120</v>
      </c>
      <c r="Z273">
        <f t="shared" si="269"/>
        <v>128.27188574554344</v>
      </c>
      <c r="AK273">
        <f t="shared" si="266"/>
        <v>639.6417963520488</v>
      </c>
      <c r="AM273">
        <f t="shared" si="267"/>
        <v>639.6417963520488</v>
      </c>
      <c r="BK273" s="1">
        <f t="shared" si="249"/>
        <v>1370</v>
      </c>
      <c r="BL273" s="20">
        <f t="shared" si="250"/>
        <v>741171.19999999995</v>
      </c>
      <c r="BM273">
        <f>VLOOKUP(BK273,'Hazard Weighting Functions'!$B$5:$G$1205,4,FALSE)</f>
        <v>0.02</v>
      </c>
      <c r="BN273">
        <f t="shared" si="262"/>
        <v>14823.423999999999</v>
      </c>
      <c r="BO273" s="19">
        <f t="shared" si="265"/>
        <v>73855.399999999994</v>
      </c>
      <c r="BP273" s="20">
        <f t="shared" si="251"/>
        <v>1250</v>
      </c>
      <c r="BQ273" s="20">
        <f t="shared" si="251"/>
        <v>872607.99999999977</v>
      </c>
      <c r="BR273" s="19">
        <f>VLOOKUP(BP273,'Hazard Weighting Functions'!$B$5:$G$1205,4,FALSE)</f>
        <v>0.02</v>
      </c>
      <c r="BS273" s="19">
        <f t="shared" si="263"/>
        <v>17452.159999999996</v>
      </c>
      <c r="BT273" s="19">
        <f t="shared" si="264"/>
        <v>86977.599999999977</v>
      </c>
    </row>
    <row r="274" spans="11:72">
      <c r="K274">
        <v>2225</v>
      </c>
      <c r="L274" s="36">
        <f>327.374376*(1628/1602)</f>
        <v>332.6875681198502</v>
      </c>
      <c r="N274">
        <v>1375</v>
      </c>
      <c r="O274" s="36">
        <v>735936.79999999993</v>
      </c>
      <c r="Q274" s="20">
        <v>1255</v>
      </c>
      <c r="R274" s="37">
        <v>866944</v>
      </c>
      <c r="V274">
        <f>K54</f>
        <v>1125</v>
      </c>
      <c r="W274" s="26">
        <f t="shared" si="270"/>
        <v>127.58483279527607</v>
      </c>
      <c r="Y274">
        <f t="shared" si="268"/>
        <v>1125</v>
      </c>
      <c r="Z274">
        <f t="shared" si="269"/>
        <v>127.58483279527607</v>
      </c>
      <c r="AK274">
        <f t="shared" si="266"/>
        <v>636.1940306372793</v>
      </c>
      <c r="AM274">
        <f t="shared" si="267"/>
        <v>636.1940306372793</v>
      </c>
      <c r="BK274" s="1">
        <f t="shared" si="249"/>
        <v>1375</v>
      </c>
      <c r="BL274" s="20">
        <f t="shared" si="250"/>
        <v>735936.79999999993</v>
      </c>
      <c r="BM274">
        <f>VLOOKUP(BK274,'Hazard Weighting Functions'!$B$5:$G$1205,4,FALSE)</f>
        <v>0.02</v>
      </c>
      <c r="BN274">
        <f t="shared" si="262"/>
        <v>14718.735999999999</v>
      </c>
      <c r="BO274" s="19">
        <f t="shared" si="265"/>
        <v>73333.079999999987</v>
      </c>
      <c r="BP274" s="20">
        <f>Q274</f>
        <v>1255</v>
      </c>
      <c r="BQ274" s="20">
        <f t="shared" ref="BQ274:BQ303" si="271">R274</f>
        <v>866944</v>
      </c>
      <c r="BR274" s="19">
        <f>VLOOKUP(BP274,'Hazard Weighting Functions'!$B$5:$G$1205,4,FALSE)</f>
        <v>0.02</v>
      </c>
      <c r="BS274" s="19">
        <f t="shared" si="263"/>
        <v>17338.88</v>
      </c>
      <c r="BT274" s="19">
        <f t="shared" si="264"/>
        <v>86411.6</v>
      </c>
    </row>
    <row r="275" spans="11:72">
      <c r="K275">
        <v>2230</v>
      </c>
      <c r="L275" s="36">
        <f>325.168116*(1628/1602)</f>
        <v>330.44550115355804</v>
      </c>
      <c r="N275">
        <v>1380</v>
      </c>
      <c r="O275" s="36">
        <v>730724.79999999993</v>
      </c>
      <c r="Q275" s="20">
        <v>1260</v>
      </c>
      <c r="R275" s="37">
        <v>861288</v>
      </c>
      <c r="V275">
        <f>K55</f>
        <v>1130</v>
      </c>
      <c r="W275" s="26">
        <f t="shared" si="270"/>
        <v>126.89277945963563</v>
      </c>
      <c r="Y275">
        <f t="shared" si="268"/>
        <v>1130</v>
      </c>
      <c r="Z275">
        <f t="shared" si="269"/>
        <v>126.89277945963563</v>
      </c>
      <c r="AK275">
        <f t="shared" si="266"/>
        <v>632.72376318833085</v>
      </c>
      <c r="AM275">
        <f t="shared" si="267"/>
        <v>632.72376318833085</v>
      </c>
      <c r="BK275" s="1">
        <f t="shared" si="249"/>
        <v>1380</v>
      </c>
      <c r="BL275" s="20">
        <f t="shared" si="250"/>
        <v>730724.79999999993</v>
      </c>
      <c r="BM275">
        <f>VLOOKUP(BK275,'Hazard Weighting Functions'!$B$5:$G$1205,4,FALSE)</f>
        <v>0.02</v>
      </c>
      <c r="BN275">
        <f t="shared" si="262"/>
        <v>14614.495999999999</v>
      </c>
      <c r="BO275" s="19">
        <f t="shared" si="265"/>
        <v>72812.87999999999</v>
      </c>
      <c r="BP275" s="20">
        <f t="shared" ref="BP275:BP287" si="272">Q275</f>
        <v>1260</v>
      </c>
      <c r="BQ275" s="20">
        <f t="shared" si="271"/>
        <v>861288</v>
      </c>
      <c r="BR275" s="19">
        <f>VLOOKUP(BP275,'Hazard Weighting Functions'!$B$5:$G$1205,4,FALSE)</f>
        <v>0.02</v>
      </c>
      <c r="BS275" s="19">
        <f t="shared" si="263"/>
        <v>17225.760000000002</v>
      </c>
      <c r="BT275" s="19">
        <f t="shared" si="264"/>
        <v>85846.8</v>
      </c>
    </row>
    <row r="276" spans="11:72">
      <c r="K276">
        <v>2235</v>
      </c>
      <c r="L276" s="36">
        <f>322.977924*(1628/1602)</f>
        <v>328.21976296629214</v>
      </c>
      <c r="N276">
        <v>1385</v>
      </c>
      <c r="O276" s="36">
        <v>725532.79999999993</v>
      </c>
      <c r="Q276" s="20">
        <v>1265</v>
      </c>
      <c r="R276" s="37">
        <v>855648</v>
      </c>
      <c r="V276">
        <f>K56</f>
        <v>1135</v>
      </c>
      <c r="W276" s="26">
        <f t="shared" si="270"/>
        <v>126.19672581569668</v>
      </c>
      <c r="Y276">
        <f t="shared" si="268"/>
        <v>1135</v>
      </c>
      <c r="Z276">
        <f t="shared" si="269"/>
        <v>126.19672581569668</v>
      </c>
      <c r="AK276">
        <f t="shared" si="266"/>
        <v>629.23599439057625</v>
      </c>
      <c r="AM276">
        <f t="shared" si="267"/>
        <v>629.23599439057625</v>
      </c>
      <c r="BK276" s="1">
        <f t="shared" si="249"/>
        <v>1385</v>
      </c>
      <c r="BL276" s="20">
        <f t="shared" si="250"/>
        <v>725532.79999999993</v>
      </c>
      <c r="BM276">
        <f>VLOOKUP(BK276,'Hazard Weighting Functions'!$B$5:$G$1205,4,FALSE)</f>
        <v>0.02</v>
      </c>
      <c r="BN276">
        <f t="shared" si="262"/>
        <v>14510.655999999999</v>
      </c>
      <c r="BO276" s="19">
        <f t="shared" si="265"/>
        <v>72294.799999999988</v>
      </c>
      <c r="BP276" s="20">
        <f t="shared" si="272"/>
        <v>1265</v>
      </c>
      <c r="BQ276" s="20">
        <f t="shared" si="271"/>
        <v>855648</v>
      </c>
      <c r="BR276" s="19">
        <f>VLOOKUP(BP276,'Hazard Weighting Functions'!$B$5:$G$1205,4,FALSE)</f>
        <v>0.02</v>
      </c>
      <c r="BS276" s="19">
        <f t="shared" si="263"/>
        <v>17112.96</v>
      </c>
      <c r="BT276" s="19">
        <f t="shared" si="264"/>
        <v>85282.799999999988</v>
      </c>
    </row>
    <row r="277" spans="11:72">
      <c r="K277">
        <v>2240</v>
      </c>
      <c r="L277" s="36">
        <f>320.805036*(1628/1602)</f>
        <v>326.01160961797757</v>
      </c>
      <c r="N277">
        <v>1390</v>
      </c>
      <c r="O277" s="36">
        <v>720363.2</v>
      </c>
      <c r="Q277" s="20">
        <v>1270</v>
      </c>
      <c r="R277" s="37">
        <v>850008</v>
      </c>
      <c r="V277">
        <f>K57</f>
        <v>1140</v>
      </c>
      <c r="W277" s="26">
        <f t="shared" si="270"/>
        <v>125.49767194053383</v>
      </c>
      <c r="Y277">
        <f t="shared" si="268"/>
        <v>1140</v>
      </c>
      <c r="Z277">
        <f t="shared" si="269"/>
        <v>125.49767194053383</v>
      </c>
      <c r="AK277">
        <f t="shared" si="266"/>
        <v>625.73072424401585</v>
      </c>
      <c r="AM277">
        <f t="shared" si="267"/>
        <v>625.73072424401585</v>
      </c>
      <c r="BK277" s="1">
        <f t="shared" si="249"/>
        <v>1390</v>
      </c>
      <c r="BL277" s="20">
        <f t="shared" si="250"/>
        <v>720363.2</v>
      </c>
      <c r="BM277">
        <f>VLOOKUP(BK277,'Hazard Weighting Functions'!$B$5:$G$1205,4,FALSE)</f>
        <v>0.02</v>
      </c>
      <c r="BN277">
        <f t="shared" si="262"/>
        <v>14407.263999999999</v>
      </c>
      <c r="BO277" s="19">
        <f t="shared" si="265"/>
        <v>71778.959999999992</v>
      </c>
      <c r="BP277" s="20">
        <f t="shared" si="272"/>
        <v>1270</v>
      </c>
      <c r="BQ277" s="20">
        <f t="shared" si="271"/>
        <v>850008</v>
      </c>
      <c r="BR277" s="19">
        <f>VLOOKUP(BP277,'Hazard Weighting Functions'!$B$5:$G$1205,4,FALSE)</f>
        <v>0.02</v>
      </c>
      <c r="BS277" s="19">
        <f t="shared" si="263"/>
        <v>17000.16</v>
      </c>
      <c r="BT277" s="19">
        <f t="shared" si="264"/>
        <v>84719.2</v>
      </c>
    </row>
    <row r="278" spans="11:72">
      <c r="K278">
        <v>2245</v>
      </c>
      <c r="L278" s="36">
        <f>318.64698*(1628/1602)</f>
        <v>323.81852898876406</v>
      </c>
      <c r="N278">
        <v>1395</v>
      </c>
      <c r="O278" s="36">
        <v>715216</v>
      </c>
      <c r="Q278" s="20">
        <v>1275</v>
      </c>
      <c r="R278" s="37">
        <v>844376</v>
      </c>
      <c r="V278">
        <f>K58</f>
        <v>1145</v>
      </c>
      <c r="W278" s="26">
        <f t="shared" si="270"/>
        <v>124.79461775707253</v>
      </c>
      <c r="Y278">
        <f t="shared" si="268"/>
        <v>1145</v>
      </c>
      <c r="Z278">
        <f t="shared" si="269"/>
        <v>124.79461775707253</v>
      </c>
      <c r="AK278">
        <f t="shared" si="266"/>
        <v>622.20795274864952</v>
      </c>
      <c r="AM278">
        <f t="shared" si="267"/>
        <v>622.20795274864952</v>
      </c>
      <c r="BK278" s="1">
        <f t="shared" si="249"/>
        <v>1395</v>
      </c>
      <c r="BL278" s="20">
        <f t="shared" si="250"/>
        <v>715216</v>
      </c>
      <c r="BM278">
        <f>VLOOKUP(BK278,'Hazard Weighting Functions'!$B$5:$G$1205,4,FALSE)</f>
        <v>0.02</v>
      </c>
      <c r="BN278">
        <f t="shared" si="262"/>
        <v>14304.32</v>
      </c>
      <c r="BO278" s="19">
        <f t="shared" si="265"/>
        <v>71265.36</v>
      </c>
      <c r="BP278" s="20">
        <f t="shared" si="272"/>
        <v>1275</v>
      </c>
      <c r="BQ278" s="20">
        <f t="shared" si="271"/>
        <v>844376</v>
      </c>
      <c r="BR278" s="19">
        <f>VLOOKUP(BP278,'Hazard Weighting Functions'!$B$5:$G$1205,4,FALSE)</f>
        <v>0.02</v>
      </c>
      <c r="BS278" s="19">
        <f t="shared" si="263"/>
        <v>16887.52</v>
      </c>
      <c r="BT278" s="19">
        <f t="shared" si="264"/>
        <v>84156.4</v>
      </c>
    </row>
    <row r="279" spans="11:72">
      <c r="K279">
        <v>2250</v>
      </c>
      <c r="L279" s="36">
        <f>316.506228*(1628/1602)</f>
        <v>321.64303319850183</v>
      </c>
      <c r="N279">
        <v>1400</v>
      </c>
      <c r="O279" s="36">
        <v>710091.2</v>
      </c>
      <c r="Q279" s="20">
        <v>1280</v>
      </c>
      <c r="R279" s="37">
        <v>838751.99999999988</v>
      </c>
      <c r="V279">
        <f>K59</f>
        <v>1150</v>
      </c>
      <c r="W279" s="26">
        <f t="shared" si="270"/>
        <v>124.0885633423873</v>
      </c>
      <c r="Y279">
        <f t="shared" si="268"/>
        <v>1150</v>
      </c>
      <c r="Z279">
        <f t="shared" si="269"/>
        <v>124.0885633423873</v>
      </c>
      <c r="AK279">
        <f t="shared" si="266"/>
        <v>618.66767990447727</v>
      </c>
      <c r="AM279">
        <f t="shared" si="267"/>
        <v>618.66767990447727</v>
      </c>
      <c r="BK279" s="1">
        <f t="shared" si="249"/>
        <v>1400</v>
      </c>
      <c r="BL279" s="20">
        <f t="shared" si="250"/>
        <v>710091.2</v>
      </c>
      <c r="BM279">
        <f>VLOOKUP(BK279,'Hazard Weighting Functions'!$B$5:$G$1205,4,FALSE)</f>
        <v>0.02</v>
      </c>
      <c r="BN279">
        <f t="shared" si="262"/>
        <v>14201.823999999999</v>
      </c>
      <c r="BP279" s="20">
        <f t="shared" si="272"/>
        <v>1280</v>
      </c>
      <c r="BQ279" s="20">
        <f t="shared" si="271"/>
        <v>838751.99999999988</v>
      </c>
      <c r="BR279" s="19">
        <f>VLOOKUP(BP279,'Hazard Weighting Functions'!$B$5:$G$1205,4,FALSE)</f>
        <v>0.02</v>
      </c>
      <c r="BS279" s="19">
        <f t="shared" si="263"/>
        <v>16775.039999999997</v>
      </c>
      <c r="BT279" s="19">
        <f t="shared" si="264"/>
        <v>83594.399999999994</v>
      </c>
    </row>
    <row r="280" spans="11:72">
      <c r="K280">
        <v>2255</v>
      </c>
      <c r="L280" s="36">
        <f>314.379072*(1628/1602)</f>
        <v>319.48135406741568</v>
      </c>
      <c r="Q280" s="20">
        <v>1285</v>
      </c>
      <c r="R280" s="37">
        <v>833135.99999999988</v>
      </c>
      <c r="V280">
        <f>K60</f>
        <v>1155</v>
      </c>
      <c r="W280" s="26">
        <f t="shared" si="270"/>
        <v>123.3785086194036</v>
      </c>
      <c r="Y280">
        <f t="shared" si="268"/>
        <v>1155</v>
      </c>
      <c r="Z280">
        <f t="shared" si="269"/>
        <v>123.3785086194036</v>
      </c>
      <c r="AK280">
        <f t="shared" si="266"/>
        <v>615.11240590418561</v>
      </c>
      <c r="AM280">
        <f t="shared" si="267"/>
        <v>615.11240590418561</v>
      </c>
      <c r="BK280" s="1"/>
      <c r="BL280" s="1"/>
      <c r="BP280" s="20">
        <f t="shared" si="272"/>
        <v>1285</v>
      </c>
      <c r="BQ280" s="20">
        <f t="shared" si="271"/>
        <v>833135.99999999988</v>
      </c>
      <c r="BR280" s="19">
        <f>VLOOKUP(BP280,'Hazard Weighting Functions'!$B$5:$G$1205,4,FALSE)</f>
        <v>0.02</v>
      </c>
      <c r="BS280" s="19">
        <f t="shared" si="263"/>
        <v>16662.719999999998</v>
      </c>
      <c r="BT280" s="19">
        <f t="shared" si="264"/>
        <v>83033.599999999991</v>
      </c>
    </row>
    <row r="281" spans="11:72">
      <c r="K281">
        <v>2260</v>
      </c>
      <c r="L281" s="36">
        <f>312.26922*(1628/1602)</f>
        <v>317.33725977528093</v>
      </c>
      <c r="Q281" s="20">
        <v>1290</v>
      </c>
      <c r="R281" s="37">
        <v>827535.99999999988</v>
      </c>
      <c r="V281">
        <f>K61</f>
        <v>1160</v>
      </c>
      <c r="W281" s="26">
        <f t="shared" si="270"/>
        <v>122.66645374227065</v>
      </c>
      <c r="Y281">
        <f t="shared" si="268"/>
        <v>1160</v>
      </c>
      <c r="Z281">
        <f t="shared" si="269"/>
        <v>122.66645374227065</v>
      </c>
      <c r="AK281">
        <f t="shared" si="266"/>
        <v>611.54463094046127</v>
      </c>
      <c r="AM281">
        <f t="shared" si="267"/>
        <v>611.54463094046127</v>
      </c>
      <c r="BK281" s="1"/>
      <c r="BL281" s="1"/>
      <c r="BP281" s="20">
        <f t="shared" si="272"/>
        <v>1290</v>
      </c>
      <c r="BQ281" s="20">
        <f t="shared" si="271"/>
        <v>827535.99999999988</v>
      </c>
      <c r="BR281" s="19">
        <f>VLOOKUP(BP281,'Hazard Weighting Functions'!$B$5:$G$1205,4,FALSE)</f>
        <v>0.02</v>
      </c>
      <c r="BS281" s="19">
        <f t="shared" si="263"/>
        <v>16550.719999999998</v>
      </c>
      <c r="BT281" s="19">
        <f t="shared" si="264"/>
        <v>82474.399999999994</v>
      </c>
    </row>
    <row r="282" spans="11:72">
      <c r="K282">
        <v>2265</v>
      </c>
      <c r="L282" s="36">
        <f>310.1742*(1628/1602)</f>
        <v>315.20823820224717</v>
      </c>
      <c r="Q282" s="20">
        <v>1295</v>
      </c>
      <c r="R282" s="37">
        <v>821952</v>
      </c>
      <c r="V282">
        <f>K62</f>
        <v>1165</v>
      </c>
      <c r="W282" s="26">
        <f t="shared" si="270"/>
        <v>121.95139863391383</v>
      </c>
      <c r="Y282">
        <f t="shared" si="268"/>
        <v>1165</v>
      </c>
      <c r="Z282">
        <f t="shared" si="269"/>
        <v>121.95139863391383</v>
      </c>
      <c r="AK282">
        <f t="shared" si="266"/>
        <v>607.96435501330393</v>
      </c>
      <c r="AM282">
        <f t="shared" si="267"/>
        <v>607.96435501330393</v>
      </c>
      <c r="BK282" s="1"/>
      <c r="BL282" s="1"/>
      <c r="BP282" s="20">
        <f t="shared" si="272"/>
        <v>1295</v>
      </c>
      <c r="BQ282" s="20">
        <f t="shared" si="271"/>
        <v>821952</v>
      </c>
      <c r="BR282" s="19">
        <f>VLOOKUP(BP282,'Hazard Weighting Functions'!$B$5:$G$1205,4,FALSE)</f>
        <v>0.02</v>
      </c>
      <c r="BS282" s="19">
        <f t="shared" si="263"/>
        <v>16439.04</v>
      </c>
      <c r="BT282" s="19">
        <f t="shared" si="264"/>
        <v>81916.399999999994</v>
      </c>
    </row>
    <row r="283" spans="11:72">
      <c r="K283">
        <v>2270</v>
      </c>
      <c r="L283" s="36">
        <f>308.095248*(1628/1602)</f>
        <v>313.09554540823967</v>
      </c>
      <c r="Q283" s="20">
        <v>1300</v>
      </c>
      <c r="R283" s="37">
        <v>816375.99999999988</v>
      </c>
      <c r="V283">
        <f>K63</f>
        <v>1170</v>
      </c>
      <c r="W283" s="26">
        <f t="shared" si="270"/>
        <v>121.23434337140775</v>
      </c>
      <c r="Y283">
        <f t="shared" si="268"/>
        <v>1170</v>
      </c>
      <c r="Z283">
        <f t="shared" si="269"/>
        <v>121.23434337140775</v>
      </c>
      <c r="AK283">
        <f t="shared" si="266"/>
        <v>604.37407831540042</v>
      </c>
      <c r="AM283">
        <f t="shared" si="267"/>
        <v>604.37407831540042</v>
      </c>
      <c r="BK283" s="1"/>
      <c r="BL283" s="1"/>
      <c r="BP283" s="20">
        <f t="shared" si="272"/>
        <v>1300</v>
      </c>
      <c r="BQ283" s="20">
        <f t="shared" si="271"/>
        <v>816375.99999999988</v>
      </c>
      <c r="BR283" s="19">
        <f>VLOOKUP(BP283,'Hazard Weighting Functions'!$B$5:$G$1205,4,FALSE)</f>
        <v>0.02</v>
      </c>
      <c r="BS283" s="19">
        <f t="shared" si="263"/>
        <v>16327.519999999999</v>
      </c>
      <c r="BT283" s="19">
        <f t="shared" si="264"/>
        <v>81363.599999999991</v>
      </c>
    </row>
    <row r="284" spans="11:72">
      <c r="K284">
        <v>2275</v>
      </c>
      <c r="L284" s="36">
        <f>306.031128*(1628/1602)</f>
        <v>310.99792533333328</v>
      </c>
      <c r="Q284" s="20">
        <v>1305</v>
      </c>
      <c r="R284" s="37">
        <v>810895.99999999988</v>
      </c>
      <c r="V284">
        <f>K64</f>
        <v>1175</v>
      </c>
      <c r="W284" s="26">
        <f t="shared" si="270"/>
        <v>120.51528795475244</v>
      </c>
      <c r="Y284">
        <f t="shared" si="268"/>
        <v>1175</v>
      </c>
      <c r="Z284">
        <f t="shared" si="269"/>
        <v>120.51528795475244</v>
      </c>
      <c r="AK284">
        <f t="shared" si="266"/>
        <v>600.77380084675065</v>
      </c>
      <c r="AM284">
        <f t="shared" si="267"/>
        <v>600.77380084675065</v>
      </c>
      <c r="BK284" s="1"/>
      <c r="BL284" s="1"/>
      <c r="BP284" s="20">
        <f t="shared" si="272"/>
        <v>1305</v>
      </c>
      <c r="BQ284" s="20">
        <f t="shared" si="271"/>
        <v>810895.99999999988</v>
      </c>
      <c r="BR284" s="19">
        <f>VLOOKUP(BP284,'Hazard Weighting Functions'!$B$5:$G$1205,4,FALSE)</f>
        <v>0.02</v>
      </c>
      <c r="BS284" s="19">
        <f t="shared" si="263"/>
        <v>16217.919999999998</v>
      </c>
      <c r="BT284" s="19">
        <f t="shared" si="264"/>
        <v>80816.800000000003</v>
      </c>
    </row>
    <row r="285" spans="11:72">
      <c r="K285">
        <v>2280</v>
      </c>
      <c r="L285" s="36">
        <f>303.983076*(1628/1602)</f>
        <v>308.91663403745315</v>
      </c>
      <c r="Q285" s="20">
        <v>1310</v>
      </c>
      <c r="R285" s="37">
        <v>805440</v>
      </c>
      <c r="V285">
        <f>K65</f>
        <v>1180</v>
      </c>
      <c r="W285" s="26">
        <f t="shared" si="270"/>
        <v>119.79423238394784</v>
      </c>
      <c r="Y285">
        <f t="shared" si="268"/>
        <v>1180</v>
      </c>
      <c r="Z285">
        <f t="shared" si="269"/>
        <v>119.79423238394784</v>
      </c>
      <c r="AK285">
        <f t="shared" si="266"/>
        <v>597.16352260735459</v>
      </c>
      <c r="AM285">
        <f t="shared" si="267"/>
        <v>597.16352260735459</v>
      </c>
      <c r="BK285" s="1"/>
      <c r="BL285" s="1"/>
      <c r="BP285" s="20">
        <f t="shared" si="272"/>
        <v>1310</v>
      </c>
      <c r="BQ285" s="20">
        <f t="shared" si="271"/>
        <v>805440</v>
      </c>
      <c r="BR285" s="19">
        <f>VLOOKUP(BP285,'Hazard Weighting Functions'!$B$5:$G$1205,4,FALSE)</f>
        <v>0.02</v>
      </c>
      <c r="BS285" s="19">
        <f t="shared" si="263"/>
        <v>16108.800000000001</v>
      </c>
      <c r="BT285" s="19">
        <f t="shared" si="264"/>
        <v>80271.600000000006</v>
      </c>
    </row>
    <row r="286" spans="11:72">
      <c r="K286">
        <v>2285</v>
      </c>
      <c r="L286" s="36">
        <f>301.94862*(1628/1602)</f>
        <v>306.8491594007491</v>
      </c>
      <c r="Q286" s="20">
        <v>1315</v>
      </c>
      <c r="R286" s="37">
        <v>799991.99999999988</v>
      </c>
      <c r="V286">
        <f>K66</f>
        <v>1185</v>
      </c>
      <c r="W286" s="26">
        <f t="shared" si="270"/>
        <v>119.07117665899402</v>
      </c>
      <c r="Y286">
        <f t="shared" si="268"/>
        <v>1185</v>
      </c>
      <c r="Z286">
        <f t="shared" si="269"/>
        <v>119.07117665899402</v>
      </c>
      <c r="AK286">
        <f t="shared" si="266"/>
        <v>593.54574378989901</v>
      </c>
      <c r="AM286">
        <f t="shared" si="267"/>
        <v>593.54574378989901</v>
      </c>
      <c r="BK286" s="1"/>
      <c r="BL286" s="1"/>
      <c r="BP286" s="20">
        <f t="shared" si="272"/>
        <v>1315</v>
      </c>
      <c r="BQ286" s="20">
        <f t="shared" si="271"/>
        <v>799991.99999999988</v>
      </c>
      <c r="BR286" s="19">
        <f>VLOOKUP(BP286,'Hazard Weighting Functions'!$B$5:$G$1205,4,FALSE)</f>
        <v>0.02</v>
      </c>
      <c r="BS286" s="19">
        <f t="shared" ref="BS286:BS303" si="273">BR286*BQ286</f>
        <v>15999.839999999998</v>
      </c>
      <c r="BT286" s="19">
        <f t="shared" ref="BT286:BT302" si="274">0.5*(BP287-BP286)*(BS286+BS287)</f>
        <v>79727.599999999991</v>
      </c>
    </row>
    <row r="287" spans="11:72">
      <c r="K287">
        <v>2290</v>
      </c>
      <c r="L287" s="36">
        <f>299.930232*(1628/1602)</f>
        <v>304.79801354307114</v>
      </c>
      <c r="Q287" s="20">
        <v>1320</v>
      </c>
      <c r="R287" s="37">
        <v>794559.99999999988</v>
      </c>
      <c r="V287">
        <f>K67</f>
        <v>1190</v>
      </c>
      <c r="W287" s="26">
        <f t="shared" si="270"/>
        <v>118.34712085696555</v>
      </c>
      <c r="Y287">
        <f t="shared" si="268"/>
        <v>1190</v>
      </c>
      <c r="Z287">
        <f t="shared" si="269"/>
        <v>118.34712085696555</v>
      </c>
      <c r="AK287">
        <f t="shared" si="266"/>
        <v>589.92046439438343</v>
      </c>
      <c r="AM287">
        <f t="shared" si="267"/>
        <v>589.92046439438343</v>
      </c>
      <c r="BK287" s="1"/>
      <c r="BL287" s="1"/>
      <c r="BP287" s="20">
        <f t="shared" si="272"/>
        <v>1320</v>
      </c>
      <c r="BQ287" s="20">
        <f t="shared" si="271"/>
        <v>794559.99999999988</v>
      </c>
      <c r="BR287" s="19">
        <f>VLOOKUP(BP287,'Hazard Weighting Functions'!$B$5:$G$1205,4,FALSE)</f>
        <v>0.02</v>
      </c>
      <c r="BS287" s="19">
        <f t="shared" si="273"/>
        <v>15891.199999999999</v>
      </c>
      <c r="BT287" s="19">
        <f t="shared" si="274"/>
        <v>79185.16</v>
      </c>
    </row>
    <row r="288" spans="11:72">
      <c r="K288">
        <v>2295</v>
      </c>
      <c r="L288" s="36">
        <f>297.926676*(1628/1602)</f>
        <v>302.7619404044944</v>
      </c>
      <c r="Q288" s="20">
        <v>1325</v>
      </c>
      <c r="R288" s="37">
        <v>789143.2</v>
      </c>
      <c r="V288">
        <f>K68</f>
        <v>1195</v>
      </c>
      <c r="W288" s="26">
        <f t="shared" si="270"/>
        <v>117.62106490078784</v>
      </c>
      <c r="Y288">
        <f t="shared" si="268"/>
        <v>1195</v>
      </c>
      <c r="Z288">
        <f t="shared" si="269"/>
        <v>117.62106490078784</v>
      </c>
      <c r="AK288">
        <f t="shared" si="266"/>
        <v>586.28768442080843</v>
      </c>
      <c r="AM288">
        <f t="shared" si="267"/>
        <v>586.28768442080843</v>
      </c>
      <c r="BK288" s="1"/>
      <c r="BL288" s="1"/>
      <c r="BP288" s="20">
        <f>Q288</f>
        <v>1325</v>
      </c>
      <c r="BQ288" s="20">
        <f t="shared" si="271"/>
        <v>789143.2</v>
      </c>
      <c r="BR288" s="19">
        <f>VLOOKUP(BP288,'Hazard Weighting Functions'!$B$5:$G$1205,4,FALSE)</f>
        <v>0.02</v>
      </c>
      <c r="BS288" s="19">
        <f t="shared" si="273"/>
        <v>15782.864</v>
      </c>
      <c r="BT288" s="19">
        <f t="shared" si="274"/>
        <v>78644.239999999991</v>
      </c>
    </row>
    <row r="289" spans="11:72">
      <c r="K289">
        <v>2300</v>
      </c>
      <c r="L289" s="36">
        <f>295.936716*(1628/1602)</f>
        <v>300.73968392509363</v>
      </c>
      <c r="Q289" s="20">
        <v>1330</v>
      </c>
      <c r="R289" s="37">
        <v>783741.59999999986</v>
      </c>
      <c r="V289">
        <f>K69</f>
        <v>1200</v>
      </c>
      <c r="W289" s="26">
        <f t="shared" si="270"/>
        <v>116.89400886753553</v>
      </c>
      <c r="Y289">
        <f t="shared" si="268"/>
        <v>1200</v>
      </c>
      <c r="Z289">
        <f t="shared" si="269"/>
        <v>116.89400886753553</v>
      </c>
      <c r="AK289">
        <f t="shared" si="266"/>
        <v>582.6499040618603</v>
      </c>
      <c r="AM289">
        <f t="shared" si="267"/>
        <v>582.6499040618603</v>
      </c>
      <c r="BK289" s="1"/>
      <c r="BL289" s="1"/>
      <c r="BP289" s="20">
        <f t="shared" ref="BP289:BP300" si="275">Q289</f>
        <v>1330</v>
      </c>
      <c r="BQ289" s="20">
        <f t="shared" si="271"/>
        <v>783741.59999999986</v>
      </c>
      <c r="BR289" s="19">
        <f>VLOOKUP(BP289,'Hazard Weighting Functions'!$B$5:$G$1205,4,FALSE)</f>
        <v>0.02</v>
      </c>
      <c r="BS289" s="19">
        <f t="shared" si="273"/>
        <v>15674.831999999997</v>
      </c>
      <c r="BT289" s="19">
        <f t="shared" si="274"/>
        <v>78104.92</v>
      </c>
    </row>
    <row r="290" spans="11:72">
      <c r="K290">
        <v>2305</v>
      </c>
      <c r="L290" s="36">
        <f>293.961588*(1628/1602)</f>
        <v>298.73250016479403</v>
      </c>
      <c r="Q290" s="20">
        <v>1335</v>
      </c>
      <c r="R290" s="37">
        <v>778356.8</v>
      </c>
      <c r="V290">
        <f>K70</f>
        <v>1205</v>
      </c>
      <c r="W290" s="26">
        <f t="shared" si="270"/>
        <v>116.16595275720857</v>
      </c>
      <c r="Y290">
        <f t="shared" si="268"/>
        <v>1205</v>
      </c>
      <c r="Z290">
        <f t="shared" si="269"/>
        <v>116.16595275720857</v>
      </c>
      <c r="AK290">
        <f t="shared" si="266"/>
        <v>579.06462774932993</v>
      </c>
      <c r="AM290">
        <f t="shared" si="267"/>
        <v>579.06462774932993</v>
      </c>
      <c r="BK290" s="1"/>
      <c r="BL290" s="1"/>
      <c r="BP290" s="20">
        <f t="shared" si="275"/>
        <v>1335</v>
      </c>
      <c r="BQ290" s="20">
        <f t="shared" si="271"/>
        <v>778356.8</v>
      </c>
      <c r="BR290" s="19">
        <f>VLOOKUP(BP290,'Hazard Weighting Functions'!$B$5:$G$1205,4,FALSE)</f>
        <v>0.02</v>
      </c>
      <c r="BS290" s="19">
        <f t="shared" si="273"/>
        <v>15567.136</v>
      </c>
      <c r="BT290" s="19">
        <f t="shared" si="274"/>
        <v>77567.28</v>
      </c>
    </row>
    <row r="291" spans="11:72">
      <c r="K291">
        <v>2310</v>
      </c>
      <c r="L291" s="36">
        <f>292.002528*(1628/1602)</f>
        <v>296.74164518352057</v>
      </c>
      <c r="Q291" s="20">
        <v>1340</v>
      </c>
      <c r="R291" s="37">
        <v>772988.79999999993</v>
      </c>
      <c r="V291">
        <f>K71</f>
        <v>1210</v>
      </c>
      <c r="W291" s="26">
        <f t="shared" si="270"/>
        <v>115.45989834252337</v>
      </c>
      <c r="Y291">
        <f t="shared" si="268"/>
        <v>1210</v>
      </c>
      <c r="Z291">
        <f t="shared" si="269"/>
        <v>115.45989834252337</v>
      </c>
      <c r="AK291">
        <f t="shared" si="266"/>
        <v>575.5293552905307</v>
      </c>
      <c r="AM291">
        <f t="shared" si="267"/>
        <v>575.5293552905307</v>
      </c>
      <c r="BK291" s="1"/>
      <c r="BL291" s="1"/>
      <c r="BP291" s="20">
        <f t="shared" si="275"/>
        <v>1340</v>
      </c>
      <c r="BQ291" s="20">
        <f t="shared" si="271"/>
        <v>772988.79999999993</v>
      </c>
      <c r="BR291" s="19">
        <f>VLOOKUP(BP291,'Hazard Weighting Functions'!$B$5:$G$1205,4,FALSE)</f>
        <v>0.02</v>
      </c>
      <c r="BS291" s="19">
        <f t="shared" si="273"/>
        <v>15459.775999999998</v>
      </c>
      <c r="BT291" s="19">
        <f t="shared" si="274"/>
        <v>77031.399999999994</v>
      </c>
    </row>
    <row r="292" spans="11:72">
      <c r="K292">
        <v>2315</v>
      </c>
      <c r="L292" s="36">
        <f>290.057064*(1628/1602)</f>
        <v>294.76460686142326</v>
      </c>
      <c r="Q292" s="20">
        <v>1345</v>
      </c>
      <c r="R292" s="37">
        <v>767639.2</v>
      </c>
      <c r="V292">
        <f>K72</f>
        <v>1215</v>
      </c>
      <c r="W292" s="26">
        <f t="shared" si="270"/>
        <v>114.75184377368892</v>
      </c>
      <c r="Y292">
        <f t="shared" si="268"/>
        <v>1215</v>
      </c>
      <c r="Z292">
        <f t="shared" si="269"/>
        <v>114.75184377368892</v>
      </c>
      <c r="AK292">
        <f t="shared" si="266"/>
        <v>571.98908244635845</v>
      </c>
      <c r="AM292">
        <f t="shared" si="267"/>
        <v>571.98908244635845</v>
      </c>
      <c r="BK292" s="1"/>
      <c r="BL292" s="1"/>
      <c r="BP292" s="20">
        <f t="shared" si="275"/>
        <v>1345</v>
      </c>
      <c r="BQ292" s="20">
        <f t="shared" si="271"/>
        <v>767639.2</v>
      </c>
      <c r="BR292" s="19">
        <f>VLOOKUP(BP292,'Hazard Weighting Functions'!$B$5:$G$1205,4,FALSE)</f>
        <v>0.02</v>
      </c>
      <c r="BS292" s="19">
        <f t="shared" si="273"/>
        <v>15352.784</v>
      </c>
      <c r="BT292" s="19">
        <f t="shared" si="274"/>
        <v>76497.320000000007</v>
      </c>
    </row>
    <row r="293" spans="11:72">
      <c r="K293">
        <v>2320</v>
      </c>
      <c r="L293" s="36">
        <f>288.125196*(1628/1602)</f>
        <v>292.80138519850186</v>
      </c>
      <c r="Q293" s="20">
        <v>1350</v>
      </c>
      <c r="R293" s="37">
        <v>762307.2</v>
      </c>
      <c r="V293">
        <f>K73</f>
        <v>1220</v>
      </c>
      <c r="W293" s="26">
        <f t="shared" si="270"/>
        <v>114.04378920485446</v>
      </c>
      <c r="Y293">
        <f t="shared" si="268"/>
        <v>1220</v>
      </c>
      <c r="Z293">
        <f t="shared" si="269"/>
        <v>114.04378920485446</v>
      </c>
      <c r="AK293">
        <f t="shared" si="266"/>
        <v>568.4488096021862</v>
      </c>
      <c r="AM293">
        <f t="shared" si="267"/>
        <v>568.4488096021862</v>
      </c>
      <c r="BK293" s="1"/>
      <c r="BL293" s="1"/>
      <c r="BP293" s="20">
        <f t="shared" si="275"/>
        <v>1350</v>
      </c>
      <c r="BQ293" s="20">
        <f t="shared" si="271"/>
        <v>762307.2</v>
      </c>
      <c r="BR293" s="19">
        <f>VLOOKUP(BP293,'Hazard Weighting Functions'!$B$5:$G$1205,4,FALSE)</f>
        <v>0.02</v>
      </c>
      <c r="BS293" s="19">
        <f t="shared" si="273"/>
        <v>15246.144</v>
      </c>
      <c r="BT293" s="19">
        <f t="shared" si="274"/>
        <v>75965.039999999994</v>
      </c>
    </row>
    <row r="294" spans="11:72">
      <c r="K294">
        <v>2325</v>
      </c>
      <c r="L294" s="36">
        <f>286.20816*(1628/1602)</f>
        <v>290.85323625468163</v>
      </c>
      <c r="Q294" s="20">
        <v>1355</v>
      </c>
      <c r="R294" s="37">
        <v>756993.6</v>
      </c>
      <c r="V294">
        <f>K74</f>
        <v>1225</v>
      </c>
      <c r="W294" s="26">
        <f t="shared" si="270"/>
        <v>113.33573463602001</v>
      </c>
      <c r="Y294">
        <f t="shared" si="268"/>
        <v>1225</v>
      </c>
      <c r="Z294">
        <f t="shared" si="269"/>
        <v>113.33573463602001</v>
      </c>
      <c r="AK294">
        <f t="shared" si="266"/>
        <v>564.90603656532733</v>
      </c>
      <c r="AM294">
        <f t="shared" si="267"/>
        <v>564.90603656532733</v>
      </c>
      <c r="BK294" s="1"/>
      <c r="BL294" s="1"/>
      <c r="BP294" s="20">
        <f t="shared" si="275"/>
        <v>1355</v>
      </c>
      <c r="BQ294" s="20">
        <f t="shared" si="271"/>
        <v>756993.6</v>
      </c>
      <c r="BR294" s="19">
        <f>VLOOKUP(BP294,'Hazard Weighting Functions'!$B$5:$G$1205,4,FALSE)</f>
        <v>0.02</v>
      </c>
      <c r="BS294" s="19">
        <f t="shared" si="273"/>
        <v>15139.871999999999</v>
      </c>
      <c r="BT294" s="19">
        <f t="shared" si="274"/>
        <v>75434.679999999993</v>
      </c>
    </row>
    <row r="295" spans="11:72">
      <c r="K295">
        <v>2330</v>
      </c>
      <c r="L295" s="36">
        <f>284.30472*(1628/1602)</f>
        <v>288.91890397003743</v>
      </c>
      <c r="Q295" s="20">
        <v>1360</v>
      </c>
      <c r="R295" s="37">
        <v>751700</v>
      </c>
      <c r="V295">
        <f>K75</f>
        <v>1230</v>
      </c>
      <c r="W295" s="26">
        <f t="shared" si="270"/>
        <v>112.62667999011093</v>
      </c>
      <c r="Y295">
        <f t="shared" si="268"/>
        <v>1230</v>
      </c>
      <c r="Z295">
        <f t="shared" si="269"/>
        <v>112.62667999011093</v>
      </c>
      <c r="AK295">
        <f t="shared" si="266"/>
        <v>561.36326352846845</v>
      </c>
      <c r="AM295">
        <f t="shared" si="267"/>
        <v>561.36326352846845</v>
      </c>
      <c r="BK295" s="1"/>
      <c r="BL295" s="1"/>
      <c r="BP295" s="20">
        <f t="shared" si="275"/>
        <v>1360</v>
      </c>
      <c r="BQ295" s="20">
        <f t="shared" si="271"/>
        <v>751700</v>
      </c>
      <c r="BR295" s="19">
        <f>VLOOKUP(BP295,'Hazard Weighting Functions'!$B$5:$G$1205,4,FALSE)</f>
        <v>0.02</v>
      </c>
      <c r="BS295" s="19">
        <f t="shared" si="273"/>
        <v>15034</v>
      </c>
      <c r="BT295" s="19">
        <f t="shared" si="274"/>
        <v>74906.239999999991</v>
      </c>
    </row>
    <row r="296" spans="11:72">
      <c r="K296">
        <v>2335</v>
      </c>
      <c r="L296" s="36">
        <f>282.416112*(1628/1602)</f>
        <v>286.9996444044944</v>
      </c>
      <c r="Q296" s="20">
        <v>1365</v>
      </c>
      <c r="R296" s="37">
        <v>746424.8</v>
      </c>
      <c r="V296">
        <f>K76</f>
        <v>1235</v>
      </c>
      <c r="W296" s="26">
        <f t="shared" si="270"/>
        <v>111.91862542127649</v>
      </c>
      <c r="Y296">
        <f t="shared" si="268"/>
        <v>1235</v>
      </c>
      <c r="Z296">
        <f t="shared" si="269"/>
        <v>111.91862542127649</v>
      </c>
      <c r="AK296">
        <f t="shared" si="266"/>
        <v>557.82049049160969</v>
      </c>
      <c r="AM296">
        <f t="shared" si="267"/>
        <v>557.82049049160969</v>
      </c>
      <c r="BK296" s="1"/>
      <c r="BL296" s="1"/>
      <c r="BP296" s="20">
        <f t="shared" si="275"/>
        <v>1365</v>
      </c>
      <c r="BQ296" s="20">
        <f t="shared" si="271"/>
        <v>746424.8</v>
      </c>
      <c r="BR296" s="19">
        <f>VLOOKUP(BP296,'Hazard Weighting Functions'!$B$5:$G$1205,4,FALSE)</f>
        <v>0.02</v>
      </c>
      <c r="BS296" s="19">
        <f t="shared" si="273"/>
        <v>14928.496000000001</v>
      </c>
      <c r="BT296" s="19">
        <f t="shared" si="274"/>
        <v>74379.799999999988</v>
      </c>
    </row>
    <row r="297" spans="11:72">
      <c r="K297">
        <v>2340</v>
      </c>
      <c r="L297" s="36">
        <f>280.539864*(1628/1602)</f>
        <v>285.09294543820221</v>
      </c>
      <c r="Q297" s="20">
        <v>1370</v>
      </c>
      <c r="R297" s="37">
        <v>741171.19999999995</v>
      </c>
      <c r="V297">
        <f>K77</f>
        <v>1240</v>
      </c>
      <c r="W297" s="26">
        <f t="shared" si="270"/>
        <v>111.20957077536741</v>
      </c>
      <c r="Y297">
        <f t="shared" si="268"/>
        <v>1240</v>
      </c>
      <c r="Z297">
        <f t="shared" si="269"/>
        <v>111.20957077536741</v>
      </c>
      <c r="AK297">
        <f t="shared" si="266"/>
        <v>554.27521726206442</v>
      </c>
      <c r="AM297">
        <f t="shared" si="267"/>
        <v>554.27521726206442</v>
      </c>
      <c r="BK297" s="1"/>
      <c r="BL297" s="1"/>
      <c r="BP297" s="20">
        <f t="shared" si="275"/>
        <v>1370</v>
      </c>
      <c r="BQ297" s="20">
        <f t="shared" si="271"/>
        <v>741171.19999999995</v>
      </c>
      <c r="BR297" s="19">
        <f>VLOOKUP(BP297,'Hazard Weighting Functions'!$B$5:$G$1205,4,FALSE)</f>
        <v>0.02</v>
      </c>
      <c r="BS297" s="19">
        <f t="shared" si="273"/>
        <v>14823.423999999999</v>
      </c>
      <c r="BT297" s="19">
        <f t="shared" si="274"/>
        <v>73855.399999999994</v>
      </c>
    </row>
    <row r="298" spans="11:72">
      <c r="K298">
        <v>2345</v>
      </c>
      <c r="L298" s="36">
        <f>278.678448*(1628/1602)</f>
        <v>283.20131919101124</v>
      </c>
      <c r="Q298" s="20">
        <v>1375</v>
      </c>
      <c r="R298" s="37">
        <v>735936.79999999993</v>
      </c>
      <c r="V298">
        <f>K78</f>
        <v>1245</v>
      </c>
      <c r="W298" s="26">
        <f t="shared" si="270"/>
        <v>110.50051612945833</v>
      </c>
      <c r="Y298">
        <f t="shared" si="268"/>
        <v>1245</v>
      </c>
      <c r="Z298">
        <f t="shared" si="269"/>
        <v>110.50051612945833</v>
      </c>
      <c r="AK298">
        <f t="shared" si="266"/>
        <v>550.73244422520554</v>
      </c>
      <c r="AM298">
        <f t="shared" si="267"/>
        <v>550.73244422520554</v>
      </c>
      <c r="BK298" s="1"/>
      <c r="BL298" s="1"/>
      <c r="BP298" s="20">
        <f t="shared" si="275"/>
        <v>1375</v>
      </c>
      <c r="BQ298" s="20">
        <f t="shared" si="271"/>
        <v>735936.79999999993</v>
      </c>
      <c r="BR298" s="19">
        <f>VLOOKUP(BP298,'Hazard Weighting Functions'!$B$5:$G$1205,4,FALSE)</f>
        <v>0.02</v>
      </c>
      <c r="BS298" s="19">
        <f t="shared" si="273"/>
        <v>14718.735999999999</v>
      </c>
      <c r="BT298" s="19">
        <f t="shared" si="274"/>
        <v>73333.079999999987</v>
      </c>
    </row>
    <row r="299" spans="11:72">
      <c r="K299">
        <v>2350</v>
      </c>
      <c r="L299" s="36">
        <f>276.830628*(1628/1602)</f>
        <v>281.32350960299624</v>
      </c>
      <c r="Q299" s="20">
        <v>1380</v>
      </c>
      <c r="R299" s="37">
        <v>730724.79999999993</v>
      </c>
      <c r="V299">
        <f>K79</f>
        <v>1250</v>
      </c>
      <c r="W299" s="26">
        <f t="shared" si="270"/>
        <v>109.79246156062388</v>
      </c>
      <c r="Y299">
        <f t="shared" si="268"/>
        <v>1250</v>
      </c>
      <c r="Z299">
        <f t="shared" si="269"/>
        <v>109.79246156062388</v>
      </c>
      <c r="AK299">
        <f t="shared" si="266"/>
        <v>547.19217138103329</v>
      </c>
      <c r="AM299">
        <f t="shared" si="267"/>
        <v>547.19217138103329</v>
      </c>
      <c r="BK299" s="1"/>
      <c r="BL299" s="1"/>
      <c r="BP299" s="20">
        <f t="shared" si="275"/>
        <v>1380</v>
      </c>
      <c r="BQ299" s="20">
        <f t="shared" si="271"/>
        <v>730724.79999999993</v>
      </c>
      <c r="BR299" s="19">
        <f>VLOOKUP(BP299,'Hazard Weighting Functions'!$B$5:$G$1205,4,FALSE)</f>
        <v>0.02</v>
      </c>
      <c r="BS299" s="19">
        <f t="shared" si="273"/>
        <v>14614.495999999999</v>
      </c>
      <c r="BT299" s="19">
        <f t="shared" si="274"/>
        <v>72812.87999999999</v>
      </c>
    </row>
    <row r="300" spans="11:72">
      <c r="K300">
        <v>2355</v>
      </c>
      <c r="L300" s="36">
        <f>274.996404*(1628/1602)</f>
        <v>279.45951667415727</v>
      </c>
      <c r="Q300" s="20">
        <v>1385</v>
      </c>
      <c r="R300" s="37">
        <v>725532.79999999993</v>
      </c>
      <c r="V300">
        <f>K80</f>
        <v>1255</v>
      </c>
      <c r="W300" s="26">
        <f t="shared" si="270"/>
        <v>109.08440699178942</v>
      </c>
      <c r="Y300">
        <f t="shared" si="268"/>
        <v>1255</v>
      </c>
      <c r="Z300">
        <f t="shared" si="269"/>
        <v>109.08440699178942</v>
      </c>
      <c r="AK300">
        <f t="shared" si="266"/>
        <v>543.65189853686093</v>
      </c>
      <c r="AM300">
        <f t="shared" si="267"/>
        <v>543.65189853686093</v>
      </c>
      <c r="BK300" s="1"/>
      <c r="BL300" s="1"/>
      <c r="BP300" s="20">
        <f t="shared" si="275"/>
        <v>1385</v>
      </c>
      <c r="BQ300" s="20">
        <f t="shared" si="271"/>
        <v>725532.79999999993</v>
      </c>
      <c r="BR300" s="19">
        <f>VLOOKUP(BP300,'Hazard Weighting Functions'!$B$5:$G$1205,4,FALSE)</f>
        <v>0.02</v>
      </c>
      <c r="BS300" s="19">
        <f t="shared" si="273"/>
        <v>14510.655999999999</v>
      </c>
      <c r="BT300" s="19">
        <f t="shared" si="274"/>
        <v>72294.799999999988</v>
      </c>
    </row>
    <row r="301" spans="11:72">
      <c r="K301">
        <v>2360</v>
      </c>
      <c r="L301" s="36">
        <f>273.175776*(1628/1602)</f>
        <v>277.60934040449439</v>
      </c>
      <c r="Q301" s="20">
        <v>1390</v>
      </c>
      <c r="R301" s="37">
        <v>720363.2</v>
      </c>
      <c r="V301">
        <f>K81</f>
        <v>1260</v>
      </c>
      <c r="W301" s="26">
        <f t="shared" si="270"/>
        <v>108.37635242295497</v>
      </c>
      <c r="Y301">
        <f t="shared" si="268"/>
        <v>1260</v>
      </c>
      <c r="Z301">
        <f t="shared" si="269"/>
        <v>108.37635242295497</v>
      </c>
      <c r="AK301">
        <f t="shared" si="266"/>
        <v>540.11412588537519</v>
      </c>
      <c r="AM301">
        <f t="shared" si="267"/>
        <v>540.11412588537519</v>
      </c>
      <c r="BK301" s="1"/>
      <c r="BL301" s="1"/>
      <c r="BP301" s="20">
        <f>Q301</f>
        <v>1390</v>
      </c>
      <c r="BQ301" s="20">
        <f t="shared" si="271"/>
        <v>720363.2</v>
      </c>
      <c r="BR301" s="19">
        <f>VLOOKUP(BP301,'Hazard Weighting Functions'!$B$5:$G$1205,4,FALSE)</f>
        <v>0.02</v>
      </c>
      <c r="BS301" s="19">
        <f t="shared" si="273"/>
        <v>14407.263999999999</v>
      </c>
      <c r="BT301" s="19">
        <f t="shared" si="274"/>
        <v>71778.959999999992</v>
      </c>
    </row>
    <row r="302" spans="11:72">
      <c r="K302">
        <v>2365</v>
      </c>
      <c r="L302" s="36">
        <f>271.367508*(1628/1602)</f>
        <v>275.7717247340824</v>
      </c>
      <c r="Q302" s="20">
        <v>1395</v>
      </c>
      <c r="R302" s="37">
        <v>715216</v>
      </c>
      <c r="V302">
        <f>K82</f>
        <v>1265</v>
      </c>
      <c r="W302" s="26">
        <f t="shared" si="270"/>
        <v>107.66929793119513</v>
      </c>
      <c r="Y302">
        <f t="shared" si="268"/>
        <v>1265</v>
      </c>
      <c r="Z302">
        <f t="shared" si="269"/>
        <v>107.66929793119513</v>
      </c>
      <c r="AK302">
        <f t="shared" si="266"/>
        <v>536.58385381194921</v>
      </c>
      <c r="AM302">
        <f t="shared" si="267"/>
        <v>536.58385381194921</v>
      </c>
      <c r="BK302" s="1"/>
      <c r="BL302" s="1"/>
      <c r="BP302" s="20">
        <f t="shared" ref="BP302:BP303" si="276">Q302</f>
        <v>1395</v>
      </c>
      <c r="BQ302" s="20">
        <f t="shared" si="271"/>
        <v>715216</v>
      </c>
      <c r="BR302" s="19">
        <f>VLOOKUP(BP302,'Hazard Weighting Functions'!$B$5:$G$1205,4,FALSE)</f>
        <v>0.02</v>
      </c>
      <c r="BS302" s="19">
        <f t="shared" si="273"/>
        <v>14304.32</v>
      </c>
      <c r="BT302" s="19">
        <f t="shared" si="274"/>
        <v>71265.36</v>
      </c>
    </row>
    <row r="303" spans="11:72">
      <c r="K303">
        <v>2370</v>
      </c>
      <c r="L303" s="36">
        <f>269.572836*(1628/1602)</f>
        <v>273.94792572284643</v>
      </c>
      <c r="Q303" s="20">
        <v>1400</v>
      </c>
      <c r="R303" s="37">
        <v>710091.2</v>
      </c>
      <c r="V303">
        <f>K83</f>
        <v>1270</v>
      </c>
      <c r="W303" s="26">
        <f t="shared" si="270"/>
        <v>106.96424359358456</v>
      </c>
      <c r="Y303">
        <f t="shared" si="268"/>
        <v>1270</v>
      </c>
      <c r="Z303">
        <f t="shared" si="269"/>
        <v>106.96424359358456</v>
      </c>
      <c r="AK303">
        <f t="shared" si="266"/>
        <v>533.05858212389637</v>
      </c>
      <c r="AM303">
        <f t="shared" si="267"/>
        <v>533.05858212389637</v>
      </c>
      <c r="BK303" s="1"/>
      <c r="BL303" s="1"/>
      <c r="BP303" s="20">
        <f t="shared" si="276"/>
        <v>1400</v>
      </c>
      <c r="BQ303" s="20">
        <f t="shared" si="271"/>
        <v>710091.2</v>
      </c>
      <c r="BR303" s="19">
        <f>VLOOKUP(BP303,'Hazard Weighting Functions'!$B$5:$G$1205,4,FALSE)</f>
        <v>0.02</v>
      </c>
      <c r="BS303" s="19">
        <f t="shared" si="273"/>
        <v>14201.823999999999</v>
      </c>
      <c r="BT303" s="19"/>
    </row>
    <row r="304" spans="11:72">
      <c r="K304">
        <v>2375</v>
      </c>
      <c r="L304" s="36">
        <f>267.79176*(1628/1602)</f>
        <v>272.13794337078656</v>
      </c>
      <c r="V304">
        <f>K84</f>
        <v>1275</v>
      </c>
      <c r="W304" s="26">
        <f t="shared" si="270"/>
        <v>106.25918925597399</v>
      </c>
      <c r="Y304">
        <f t="shared" si="268"/>
        <v>1275</v>
      </c>
      <c r="Z304">
        <f t="shared" si="269"/>
        <v>106.25918925597399</v>
      </c>
      <c r="AK304">
        <f t="shared" si="266"/>
        <v>529.53581062853004</v>
      </c>
      <c r="AM304">
        <f t="shared" si="267"/>
        <v>529.53581062853004</v>
      </c>
      <c r="BK304" s="1"/>
      <c r="BL304" s="1"/>
    </row>
    <row r="305" spans="11:64">
      <c r="K305">
        <v>2380</v>
      </c>
      <c r="L305" s="36">
        <f>266.023044*(1628/1602)</f>
        <v>270.34052161797752</v>
      </c>
      <c r="V305">
        <f>K85</f>
        <v>1280</v>
      </c>
      <c r="W305" s="26">
        <f t="shared" si="270"/>
        <v>105.55513499543801</v>
      </c>
      <c r="Y305">
        <f t="shared" si="268"/>
        <v>1280</v>
      </c>
      <c r="Z305">
        <f t="shared" si="269"/>
        <v>105.55513499543801</v>
      </c>
      <c r="AK305">
        <f t="shared" si="266"/>
        <v>526.01803951853663</v>
      </c>
      <c r="AM305">
        <f t="shared" si="267"/>
        <v>526.01803951853663</v>
      </c>
      <c r="BK305" s="1"/>
      <c r="BL305" s="1"/>
    </row>
    <row r="306" spans="11:64">
      <c r="K306">
        <v>2385</v>
      </c>
      <c r="L306" s="36">
        <f>264.267924*(1628/1602)</f>
        <v>268.55691652434456</v>
      </c>
      <c r="V306">
        <f>K86</f>
        <v>1285</v>
      </c>
      <c r="W306" s="26">
        <f t="shared" si="270"/>
        <v>104.85208081197668</v>
      </c>
      <c r="Y306">
        <f t="shared" si="268"/>
        <v>1285</v>
      </c>
      <c r="Z306">
        <f t="shared" si="269"/>
        <v>104.85208081197668</v>
      </c>
      <c r="AK306">
        <f t="shared" si="266"/>
        <v>522.50526879391668</v>
      </c>
      <c r="AM306">
        <f t="shared" si="267"/>
        <v>522.50526879391668</v>
      </c>
      <c r="BK306" s="1"/>
      <c r="BL306" s="1"/>
    </row>
    <row r="307" spans="11:64">
      <c r="K307">
        <v>2390</v>
      </c>
      <c r="L307" s="36">
        <f>262.525164*(1628/1602)</f>
        <v>266.78587202996249</v>
      </c>
      <c r="V307">
        <f>K87</f>
        <v>1290</v>
      </c>
      <c r="W307" s="26">
        <f t="shared" si="270"/>
        <v>104.15002670558999</v>
      </c>
      <c r="Y307">
        <f t="shared" si="268"/>
        <v>1290</v>
      </c>
      <c r="Z307">
        <f t="shared" si="269"/>
        <v>104.15002670558999</v>
      </c>
      <c r="AK307">
        <f t="shared" si="266"/>
        <v>518.99999864735628</v>
      </c>
      <c r="AM307">
        <f t="shared" si="267"/>
        <v>518.99999864735628</v>
      </c>
      <c r="BK307" s="1"/>
      <c r="BL307" s="1"/>
    </row>
    <row r="308" spans="11:64">
      <c r="K308">
        <v>2395</v>
      </c>
      <c r="L308" s="36">
        <f>260.796*(1628/1602)</f>
        <v>265.02864419475657</v>
      </c>
      <c r="V308">
        <f>K88</f>
        <v>1295</v>
      </c>
      <c r="W308" s="26">
        <f t="shared" si="270"/>
        <v>103.44997275335253</v>
      </c>
      <c r="Y308">
        <f t="shared" si="268"/>
        <v>1295</v>
      </c>
      <c r="Z308">
        <f t="shared" si="269"/>
        <v>103.44997275335253</v>
      </c>
      <c r="AK308">
        <f t="shared" si="266"/>
        <v>515.50472927154215</v>
      </c>
      <c r="AM308">
        <f t="shared" si="267"/>
        <v>515.50472927154215</v>
      </c>
      <c r="BK308" s="1"/>
      <c r="BL308" s="1"/>
    </row>
    <row r="309" spans="11:64">
      <c r="K309">
        <v>2400</v>
      </c>
      <c r="L309" s="36">
        <f>259.079196*(1628/1602)</f>
        <v>263.28397695880147</v>
      </c>
      <c r="V309">
        <f>K89</f>
        <v>1300</v>
      </c>
      <c r="W309" s="26">
        <f t="shared" si="270"/>
        <v>102.75191895526432</v>
      </c>
      <c r="Y309">
        <f t="shared" si="268"/>
        <v>1300</v>
      </c>
      <c r="Z309">
        <f t="shared" si="269"/>
        <v>102.75191895526432</v>
      </c>
      <c r="AK309">
        <f t="shared" si="266"/>
        <v>512.01696047378755</v>
      </c>
      <c r="AM309">
        <f t="shared" si="267"/>
        <v>512.01696047378755</v>
      </c>
      <c r="BK309" s="1"/>
      <c r="BL309" s="1"/>
    </row>
    <row r="310" spans="11:64">
      <c r="K310">
        <v>2405</v>
      </c>
      <c r="L310" s="36">
        <f>257.345088*(1628/1602)</f>
        <v>261.52172488389516</v>
      </c>
      <c r="V310">
        <f>K90</f>
        <v>1305</v>
      </c>
      <c r="W310" s="26">
        <f t="shared" si="270"/>
        <v>102.05486523425074</v>
      </c>
      <c r="Y310">
        <f t="shared" si="268"/>
        <v>1305</v>
      </c>
      <c r="Z310">
        <f t="shared" si="269"/>
        <v>102.05486523425074</v>
      </c>
      <c r="AK310">
        <f t="shared" si="266"/>
        <v>508.56169418095851</v>
      </c>
      <c r="AM310">
        <f t="shared" si="267"/>
        <v>508.56169418095851</v>
      </c>
      <c r="BK310" s="1"/>
      <c r="BL310" s="1"/>
    </row>
    <row r="311" spans="11:64">
      <c r="K311">
        <v>2410</v>
      </c>
      <c r="L311" s="36">
        <f>255.62334*(1628/1602)</f>
        <v>259.77203340823968</v>
      </c>
      <c r="V311">
        <f>K91</f>
        <v>1310</v>
      </c>
      <c r="W311" s="26">
        <f t="shared" si="270"/>
        <v>101.36981243813267</v>
      </c>
      <c r="Y311">
        <f t="shared" si="268"/>
        <v>1310</v>
      </c>
      <c r="Z311">
        <f t="shared" si="269"/>
        <v>101.36981243813267</v>
      </c>
      <c r="AK311">
        <f t="shared" si="266"/>
        <v>505.14393077842783</v>
      </c>
      <c r="AM311">
        <f t="shared" si="267"/>
        <v>505.14393077842783</v>
      </c>
      <c r="BK311" s="1"/>
      <c r="BL311" s="1"/>
    </row>
    <row r="312" spans="11:64">
      <c r="K312">
        <v>2415</v>
      </c>
      <c r="L312" s="36">
        <f>253.916424*(1628/1602)</f>
        <v>258.03741465168537</v>
      </c>
      <c r="V312">
        <f>K92</f>
        <v>1315</v>
      </c>
      <c r="W312" s="26">
        <f t="shared" si="270"/>
        <v>100.68775987323846</v>
      </c>
      <c r="Y312">
        <f t="shared" si="268"/>
        <v>1315</v>
      </c>
      <c r="Z312">
        <f t="shared" si="269"/>
        <v>100.68775987323846</v>
      </c>
      <c r="AK312">
        <f t="shared" si="266"/>
        <v>501.73616814664337</v>
      </c>
      <c r="AM312">
        <f t="shared" si="267"/>
        <v>501.73616814664337</v>
      </c>
      <c r="BK312" s="1"/>
      <c r="BL312" s="1"/>
    </row>
    <row r="313" spans="11:64">
      <c r="K313">
        <v>2420</v>
      </c>
      <c r="L313" s="36">
        <f>252.220632*(1628/1602)</f>
        <v>256.31410043445692</v>
      </c>
      <c r="V313">
        <f>K93</f>
        <v>1320</v>
      </c>
      <c r="W313" s="26">
        <f t="shared" si="270"/>
        <v>100.00670738541888</v>
      </c>
      <c r="Y313">
        <f t="shared" si="268"/>
        <v>1320</v>
      </c>
      <c r="Z313">
        <f t="shared" si="269"/>
        <v>100.00670738541888</v>
      </c>
      <c r="AK313">
        <f t="shared" si="266"/>
        <v>498.33590609291855</v>
      </c>
      <c r="AM313">
        <f t="shared" si="267"/>
        <v>498.33590609291855</v>
      </c>
      <c r="BK313" s="1"/>
      <c r="BL313" s="1"/>
    </row>
    <row r="314" spans="11:64">
      <c r="K314">
        <v>2425</v>
      </c>
      <c r="L314" s="36">
        <f>250.5372*(1628/1602)</f>
        <v>254.60334681647939</v>
      </c>
      <c r="V314">
        <f>K94</f>
        <v>1325</v>
      </c>
      <c r="W314" s="26">
        <f t="shared" si="270"/>
        <v>99.327655051748536</v>
      </c>
      <c r="Y314">
        <f t="shared" si="268"/>
        <v>1325</v>
      </c>
      <c r="Z314">
        <f t="shared" si="269"/>
        <v>99.327655051748536</v>
      </c>
      <c r="AK314">
        <f t="shared" si="266"/>
        <v>494.94539479067146</v>
      </c>
      <c r="AM314">
        <f t="shared" si="267"/>
        <v>494.94539479067146</v>
      </c>
      <c r="BK314" s="1"/>
      <c r="BL314" s="1"/>
    </row>
    <row r="315" spans="11:64">
      <c r="K315">
        <v>2430</v>
      </c>
      <c r="L315" s="36">
        <f>248.866128*(1628/1602)</f>
        <v>252.9051537977528</v>
      </c>
      <c r="V315">
        <f>K95</f>
        <v>1330</v>
      </c>
      <c r="W315" s="26">
        <f t="shared" si="270"/>
        <v>98.650502864520021</v>
      </c>
      <c r="Y315">
        <f t="shared" si="268"/>
        <v>1330</v>
      </c>
      <c r="Z315">
        <f t="shared" si="269"/>
        <v>98.650502864520021</v>
      </c>
      <c r="AK315">
        <f t="shared" si="266"/>
        <v>491.5643842206332</v>
      </c>
      <c r="AM315">
        <f t="shared" si="267"/>
        <v>491.5643842206332</v>
      </c>
      <c r="BK315" s="1"/>
      <c r="BL315" s="1"/>
    </row>
    <row r="316" spans="11:64">
      <c r="K316">
        <v>2435</v>
      </c>
      <c r="L316" s="36">
        <f>247.207416*(1628/1602)</f>
        <v>251.21952137827714</v>
      </c>
      <c r="V316">
        <f>K96</f>
        <v>1335</v>
      </c>
      <c r="W316" s="26">
        <f t="shared" si="270"/>
        <v>97.975250823733248</v>
      </c>
      <c r="Y316">
        <f t="shared" si="268"/>
        <v>1335</v>
      </c>
      <c r="Z316">
        <f t="shared" si="269"/>
        <v>97.975250823733248</v>
      </c>
      <c r="AK316">
        <f t="shared" si="266"/>
        <v>488.1933744213411</v>
      </c>
      <c r="AM316">
        <f t="shared" si="267"/>
        <v>488.1933744213411</v>
      </c>
      <c r="BK316" s="1"/>
      <c r="BL316" s="1"/>
    </row>
    <row r="317" spans="11:64">
      <c r="K317">
        <v>2440</v>
      </c>
      <c r="L317" s="36">
        <f>245.561064*(1628/1602)</f>
        <v>249.54644955805244</v>
      </c>
      <c r="V317">
        <f>K97</f>
        <v>1340</v>
      </c>
      <c r="W317" s="26">
        <f t="shared" si="270"/>
        <v>97.302098944803205</v>
      </c>
      <c r="Y317">
        <f t="shared" si="268"/>
        <v>1340</v>
      </c>
      <c r="Z317">
        <f t="shared" si="269"/>
        <v>97.302098944803205</v>
      </c>
      <c r="AK317">
        <f t="shared" si="266"/>
        <v>484.83286543133272</v>
      </c>
      <c r="AM317">
        <f t="shared" si="267"/>
        <v>484.83286543133272</v>
      </c>
      <c r="BK317" s="1"/>
      <c r="BL317" s="1"/>
    </row>
    <row r="318" spans="11:64">
      <c r="K318">
        <v>2445</v>
      </c>
      <c r="L318" s="36">
        <f>243.927072*(1628/1602)</f>
        <v>247.88593833707864</v>
      </c>
      <c r="V318">
        <f>K98</f>
        <v>1345</v>
      </c>
      <c r="W318" s="26">
        <f t="shared" si="270"/>
        <v>96.631047227729894</v>
      </c>
      <c r="Y318">
        <f t="shared" si="268"/>
        <v>1345</v>
      </c>
      <c r="Z318">
        <f t="shared" si="269"/>
        <v>96.631047227729894</v>
      </c>
      <c r="AK318">
        <f t="shared" si="266"/>
        <v>481.48335728914515</v>
      </c>
      <c r="AM318">
        <f t="shared" si="267"/>
        <v>481.48335728914515</v>
      </c>
      <c r="BK318" s="1"/>
      <c r="BL318" s="1"/>
    </row>
    <row r="319" spans="11:64">
      <c r="K319">
        <v>2450</v>
      </c>
      <c r="L319" s="36">
        <f>242.304204*(1628/1602)</f>
        <v>246.2367316554307</v>
      </c>
      <c r="V319">
        <f>K99</f>
        <v>1350</v>
      </c>
      <c r="W319" s="26">
        <f t="shared" si="270"/>
        <v>95.962295687928176</v>
      </c>
      <c r="Y319">
        <f t="shared" si="268"/>
        <v>1350</v>
      </c>
      <c r="Z319">
        <f t="shared" si="269"/>
        <v>95.962295687928176</v>
      </c>
      <c r="AK319">
        <f t="shared" si="266"/>
        <v>478.1451000140471</v>
      </c>
      <c r="AM319">
        <f t="shared" si="267"/>
        <v>478.1451000140471</v>
      </c>
      <c r="BK319" s="1"/>
      <c r="BL319" s="1"/>
    </row>
    <row r="320" spans="11:64">
      <c r="K320">
        <v>2455</v>
      </c>
      <c r="L320" s="36">
        <f>240.694932*(1628/1602)</f>
        <v>244.60134163295879</v>
      </c>
      <c r="V320">
        <f>K100</f>
        <v>1355</v>
      </c>
      <c r="W320" s="26">
        <f t="shared" si="270"/>
        <v>95.295744317690662</v>
      </c>
      <c r="Y320">
        <f t="shared" si="268"/>
        <v>1355</v>
      </c>
      <c r="Z320">
        <f t="shared" si="269"/>
        <v>95.295744317690662</v>
      </c>
      <c r="AK320">
        <f t="shared" si="266"/>
        <v>474.81809360603859</v>
      </c>
      <c r="AM320">
        <f t="shared" si="267"/>
        <v>474.81809360603859</v>
      </c>
      <c r="BK320" s="1"/>
      <c r="BL320" s="1"/>
    </row>
    <row r="321" spans="11:64">
      <c r="K321">
        <v>2460</v>
      </c>
      <c r="L321" s="36">
        <f>239.095548*(1628/1602)</f>
        <v>242.97600008988766</v>
      </c>
      <c r="V321">
        <f>K101</f>
        <v>1360</v>
      </c>
      <c r="W321" s="26">
        <f t="shared" si="270"/>
        <v>94.631493124724784</v>
      </c>
      <c r="Y321">
        <f t="shared" si="268"/>
        <v>1360</v>
      </c>
      <c r="Z321">
        <f t="shared" si="269"/>
        <v>94.631493124724784</v>
      </c>
      <c r="AK321">
        <f t="shared" si="266"/>
        <v>471.50308812292565</v>
      </c>
      <c r="AM321">
        <f t="shared" si="267"/>
        <v>471.50308812292565</v>
      </c>
      <c r="BK321" s="1"/>
      <c r="BL321" s="1"/>
    </row>
    <row r="322" spans="11:64">
      <c r="K322">
        <v>2465</v>
      </c>
      <c r="L322" s="36">
        <f>237.508524*(1628/1602)</f>
        <v>241.36321914606742</v>
      </c>
      <c r="V322">
        <f>K102</f>
        <v>1365</v>
      </c>
      <c r="W322" s="26">
        <f t="shared" si="270"/>
        <v>93.96974212444546</v>
      </c>
      <c r="Y322">
        <f t="shared" si="268"/>
        <v>1365</v>
      </c>
      <c r="Z322">
        <f t="shared" si="269"/>
        <v>93.96974212444546</v>
      </c>
      <c r="AK322">
        <f t="shared" si="266"/>
        <v>468.20008356470805</v>
      </c>
      <c r="AM322">
        <f t="shared" si="267"/>
        <v>468.20008356470805</v>
      </c>
      <c r="BK322" s="1"/>
      <c r="BL322" s="1"/>
    </row>
    <row r="323" spans="11:64">
      <c r="K323">
        <v>2470</v>
      </c>
      <c r="L323" s="36">
        <f>235.93386*(1628/1602)</f>
        <v>239.76299880149813</v>
      </c>
      <c r="V323">
        <f>K103</f>
        <v>1370</v>
      </c>
      <c r="W323" s="26">
        <f t="shared" si="270"/>
        <v>93.310291301437786</v>
      </c>
      <c r="Y323">
        <f t="shared" si="268"/>
        <v>1370</v>
      </c>
      <c r="Z323">
        <f t="shared" si="269"/>
        <v>93.310291301437786</v>
      </c>
      <c r="AK323">
        <f t="shared" si="266"/>
        <v>464.90957996992347</v>
      </c>
      <c r="AM323">
        <f t="shared" si="267"/>
        <v>464.90957996992347</v>
      </c>
      <c r="BK323" s="1"/>
      <c r="BL323" s="1"/>
    </row>
    <row r="324" spans="11:64">
      <c r="K324">
        <v>2475</v>
      </c>
      <c r="L324" s="36">
        <f>234.369084*(1628/1602)</f>
        <v>238.17282693632959</v>
      </c>
      <c r="V324">
        <f>K104</f>
        <v>1375</v>
      </c>
      <c r="W324" s="26">
        <f t="shared" si="270"/>
        <v>92.653540686531599</v>
      </c>
      <c r="Y324">
        <f t="shared" si="268"/>
        <v>1375</v>
      </c>
      <c r="Z324">
        <f t="shared" si="269"/>
        <v>92.653540686531599</v>
      </c>
      <c r="AK324">
        <f t="shared" si="266"/>
        <v>461.63182735784017</v>
      </c>
      <c r="AM324">
        <f t="shared" si="267"/>
        <v>461.63182735784017</v>
      </c>
      <c r="BK324" s="1"/>
      <c r="BL324" s="1"/>
    </row>
    <row r="325" spans="11:64">
      <c r="K325">
        <v>2480</v>
      </c>
      <c r="L325" s="36">
        <f>232.817904*(1628/1602)</f>
        <v>236.59647173033716</v>
      </c>
      <c r="V325">
        <f>K105</f>
        <v>1380</v>
      </c>
      <c r="W325" s="26">
        <f t="shared" si="270"/>
        <v>91.999190256604479</v>
      </c>
      <c r="Y325">
        <f t="shared" si="268"/>
        <v>1380</v>
      </c>
      <c r="Z325">
        <f t="shared" si="269"/>
        <v>91.999190256604479</v>
      </c>
      <c r="AK325">
        <f t="shared" si="266"/>
        <v>458.36707574772703</v>
      </c>
      <c r="AM325">
        <f t="shared" si="267"/>
        <v>458.36707574772703</v>
      </c>
      <c r="BK325" s="1"/>
      <c r="BL325" s="1"/>
    </row>
    <row r="326" spans="11:64">
      <c r="K326">
        <v>2485</v>
      </c>
      <c r="L326" s="36">
        <f>231.276612*(1628/1602)</f>
        <v>235.03016500374534</v>
      </c>
      <c r="V326">
        <f>K106</f>
        <v>1385</v>
      </c>
      <c r="W326" s="26">
        <f t="shared" si="270"/>
        <v>91.347640042486333</v>
      </c>
      <c r="Y326">
        <f t="shared" si="268"/>
        <v>1385</v>
      </c>
      <c r="Z326">
        <f t="shared" si="269"/>
        <v>91.347640042486333</v>
      </c>
      <c r="AK326">
        <f t="shared" si="266"/>
        <v>455.11557515885272</v>
      </c>
      <c r="AM326">
        <f t="shared" si="267"/>
        <v>455.11557515885272</v>
      </c>
      <c r="BK326" s="1"/>
      <c r="BL326" s="1"/>
    </row>
    <row r="327" spans="11:64">
      <c r="K327">
        <v>2490</v>
      </c>
      <c r="L327" s="36">
        <f>229.746444*(1628/1602)</f>
        <v>233.47516281647941</v>
      </c>
      <c r="V327">
        <f>K107</f>
        <v>1390</v>
      </c>
      <c r="W327" s="26">
        <f t="shared" si="270"/>
        <v>90.698590021054756</v>
      </c>
      <c r="Y327">
        <f t="shared" si="268"/>
        <v>1390</v>
      </c>
      <c r="Z327">
        <f t="shared" si="269"/>
        <v>90.698590021054756</v>
      </c>
      <c r="AK327">
        <f t="shared" si="266"/>
        <v>451.87732559121713</v>
      </c>
      <c r="AM327">
        <f t="shared" si="267"/>
        <v>451.87732559121713</v>
      </c>
      <c r="BK327" s="1"/>
      <c r="BL327" s="1"/>
    </row>
    <row r="328" spans="11:64">
      <c r="K328">
        <v>2495</v>
      </c>
      <c r="L328" s="36">
        <f>228.228636*(1628/1602)</f>
        <v>231.93272122846446</v>
      </c>
      <c r="V328">
        <f>K108</f>
        <v>1395</v>
      </c>
      <c r="W328" s="26">
        <f t="shared" si="270"/>
        <v>90.05234021543211</v>
      </c>
      <c r="Y328">
        <f t="shared" si="268"/>
        <v>1395</v>
      </c>
      <c r="Z328">
        <f t="shared" si="269"/>
        <v>90.05234021543211</v>
      </c>
      <c r="AK328">
        <f t="shared" si="266"/>
        <v>448.65307710262641</v>
      </c>
      <c r="AM328">
        <f t="shared" si="267"/>
        <v>448.65307710262641</v>
      </c>
      <c r="BK328" s="1"/>
      <c r="BL328" s="1"/>
    </row>
    <row r="329" spans="11:64">
      <c r="K329">
        <v>2500</v>
      </c>
      <c r="L329" s="36">
        <f>226.720716*(1628/1602)</f>
        <v>230.40032811985017</v>
      </c>
      <c r="V329">
        <f>K109</f>
        <v>1400</v>
      </c>
      <c r="W329" s="26">
        <f t="shared" si="270"/>
        <v>89.40889062561844</v>
      </c>
      <c r="Y329">
        <f t="shared" si="268"/>
        <v>1400</v>
      </c>
      <c r="Z329">
        <f t="shared" si="269"/>
        <v>89.40889062561844</v>
      </c>
      <c r="AK329">
        <f t="shared" si="266"/>
        <v>445.44282969308034</v>
      </c>
      <c r="AM329">
        <f t="shared" si="267"/>
        <v>445.44282969308034</v>
      </c>
      <c r="BK329" s="1"/>
      <c r="BL329" s="1"/>
    </row>
    <row r="330" spans="11:64">
      <c r="K330">
        <v>2505</v>
      </c>
      <c r="L330" s="36">
        <f>225.22392*(1628/1602)</f>
        <v>228.87923955056181</v>
      </c>
      <c r="V330">
        <f>K110</f>
        <v>1405</v>
      </c>
      <c r="W330" s="26">
        <f t="shared" si="270"/>
        <v>88.768241251613702</v>
      </c>
      <c r="Y330">
        <f t="shared" si="268"/>
        <v>1405</v>
      </c>
      <c r="Z330">
        <f t="shared" si="269"/>
        <v>88.768241251613702</v>
      </c>
      <c r="AK330">
        <f t="shared" si="266"/>
        <v>442.28158606019093</v>
      </c>
      <c r="AM330">
        <f t="shared" si="267"/>
        <v>442.28158606019093</v>
      </c>
      <c r="BK330" s="1"/>
      <c r="BL330" s="1"/>
    </row>
    <row r="331" spans="11:64">
      <c r="K331">
        <v>2510</v>
      </c>
      <c r="L331" s="36">
        <f>223.739484*(1628/1602)</f>
        <v>227.37071158052436</v>
      </c>
      <c r="V331">
        <f>K111</f>
        <v>1410</v>
      </c>
      <c r="W331" s="26">
        <f t="shared" si="270"/>
        <v>88.144393172462685</v>
      </c>
      <c r="Y331">
        <f t="shared" si="268"/>
        <v>1410</v>
      </c>
      <c r="Z331">
        <f t="shared" si="269"/>
        <v>88.144393172462685</v>
      </c>
      <c r="AK331">
        <f t="shared" si="266"/>
        <v>439.16909618468947</v>
      </c>
      <c r="AM331">
        <f t="shared" si="267"/>
        <v>439.16909618468947</v>
      </c>
      <c r="BK331" s="1"/>
      <c r="BL331" s="1"/>
    </row>
    <row r="332" spans="11:64">
      <c r="K332">
        <v>2515</v>
      </c>
      <c r="L332" s="36">
        <f>222.264936*(1628/1602)</f>
        <v>225.87223208988766</v>
      </c>
      <c r="V332">
        <f>K112</f>
        <v>1415</v>
      </c>
      <c r="W332" s="26">
        <f t="shared" si="270"/>
        <v>87.523245301413127</v>
      </c>
      <c r="Y332">
        <f t="shared" si="268"/>
        <v>1415</v>
      </c>
      <c r="Z332">
        <f t="shared" si="269"/>
        <v>87.523245301413127</v>
      </c>
      <c r="AK332">
        <f t="shared" si="266"/>
        <v>436.07035736896421</v>
      </c>
      <c r="AM332">
        <f t="shared" si="267"/>
        <v>436.07035736896421</v>
      </c>
      <c r="BK332" s="1"/>
      <c r="BL332" s="1"/>
    </row>
    <row r="333" spans="11:64">
      <c r="K333">
        <v>2520</v>
      </c>
      <c r="L333" s="36">
        <f>220.800276*(1628/1602)</f>
        <v>224.38380107865169</v>
      </c>
      <c r="V333">
        <f>K113</f>
        <v>1420</v>
      </c>
      <c r="W333" s="26">
        <f t="shared" si="270"/>
        <v>86.904897646172543</v>
      </c>
      <c r="Y333">
        <f t="shared" si="268"/>
        <v>1420</v>
      </c>
      <c r="Z333">
        <f t="shared" si="269"/>
        <v>86.904897646172543</v>
      </c>
      <c r="AK333">
        <f t="shared" ref="AK333:AK396" si="277">0.5*(V334-V333)*(W333+W334)</f>
        <v>432.98561963228349</v>
      </c>
      <c r="AM333">
        <f t="shared" ref="AM333:AM396" si="278">0.5*(V334-V333)*(W333+W334)</f>
        <v>432.98561963228349</v>
      </c>
      <c r="BK333" s="1"/>
      <c r="BL333" s="1"/>
    </row>
    <row r="334" spans="11:64">
      <c r="K334">
        <v>2525</v>
      </c>
      <c r="L334" s="36">
        <f>219.34674*(1628/1602)</f>
        <v>222.9066746067416</v>
      </c>
      <c r="V334">
        <f>K114</f>
        <v>1425</v>
      </c>
      <c r="W334" s="26">
        <f t="shared" si="270"/>
        <v>86.289350206740878</v>
      </c>
      <c r="Y334">
        <f t="shared" ref="Y334:Y397" si="279">V334</f>
        <v>1425</v>
      </c>
      <c r="Z334">
        <f t="shared" ref="Z334:Z397" si="280">W334</f>
        <v>86.289350206740878</v>
      </c>
      <c r="AK334">
        <f t="shared" si="277"/>
        <v>429.91513299391636</v>
      </c>
      <c r="AM334">
        <f t="shared" si="278"/>
        <v>429.91513299391636</v>
      </c>
      <c r="BK334" s="1"/>
      <c r="BL334" s="1"/>
    </row>
    <row r="335" spans="11:64">
      <c r="K335">
        <v>2530</v>
      </c>
      <c r="L335" s="36">
        <f>217.904328*(1628/1602)</f>
        <v>221.4408526741573</v>
      </c>
      <c r="V335">
        <f>K115</f>
        <v>1430</v>
      </c>
      <c r="W335" s="26">
        <f t="shared" ref="W335:W398" si="281">IF(L114=0,0,L114/$T$51)</f>
        <v>85.67670299082566</v>
      </c>
      <c r="Y335">
        <f t="shared" si="279"/>
        <v>1430</v>
      </c>
      <c r="Z335">
        <f t="shared" si="280"/>
        <v>85.67670299082566</v>
      </c>
      <c r="AK335">
        <f t="shared" si="277"/>
        <v>426.8591474731312</v>
      </c>
      <c r="AM335">
        <f t="shared" si="278"/>
        <v>426.8591474731312</v>
      </c>
      <c r="BK335" s="1"/>
      <c r="BL335" s="1"/>
    </row>
    <row r="336" spans="11:64">
      <c r="K336">
        <v>2535</v>
      </c>
      <c r="L336" s="36">
        <f>216.471804*(1628/1602)</f>
        <v>219.98507922097377</v>
      </c>
      <c r="V336">
        <f>K116</f>
        <v>1435</v>
      </c>
      <c r="W336" s="26">
        <f t="shared" si="281"/>
        <v>85.06695599842682</v>
      </c>
      <c r="Y336">
        <f t="shared" si="279"/>
        <v>1435</v>
      </c>
      <c r="Z336">
        <f t="shared" si="280"/>
        <v>85.06695599842682</v>
      </c>
      <c r="AK336">
        <f t="shared" si="277"/>
        <v>423.81741305065941</v>
      </c>
      <c r="AM336">
        <f t="shared" si="278"/>
        <v>423.81741305065941</v>
      </c>
      <c r="BK336" s="1"/>
      <c r="BL336" s="1"/>
    </row>
    <row r="337" spans="11:64">
      <c r="K337">
        <v>2540</v>
      </c>
      <c r="L337" s="36">
        <f>215.050404*(1628/1602)</f>
        <v>218.54061030711614</v>
      </c>
      <c r="V337">
        <f>K117</f>
        <v>1440</v>
      </c>
      <c r="W337" s="26">
        <f t="shared" si="281"/>
        <v>84.460009221836955</v>
      </c>
      <c r="Y337">
        <f t="shared" si="279"/>
        <v>1440</v>
      </c>
      <c r="Z337">
        <f t="shared" si="280"/>
        <v>84.460009221836955</v>
      </c>
      <c r="AK337">
        <f t="shared" si="277"/>
        <v>420.79042976503843</v>
      </c>
      <c r="AM337">
        <f t="shared" si="278"/>
        <v>420.79042976503843</v>
      </c>
      <c r="BK337" s="1"/>
      <c r="BL337" s="1"/>
    </row>
    <row r="338" spans="11:64">
      <c r="K338">
        <v>2545</v>
      </c>
      <c r="L338" s="36">
        <f>213.638892*(1628/1602)</f>
        <v>217.10618987265917</v>
      </c>
      <c r="V338">
        <f>K118</f>
        <v>1445</v>
      </c>
      <c r="W338" s="26">
        <f t="shared" si="281"/>
        <v>83.856162684178415</v>
      </c>
      <c r="Y338">
        <f t="shared" si="279"/>
        <v>1445</v>
      </c>
      <c r="Z338">
        <f t="shared" si="280"/>
        <v>83.856162684178415</v>
      </c>
      <c r="AK338">
        <f t="shared" si="277"/>
        <v>417.77819761626807</v>
      </c>
      <c r="AM338">
        <f t="shared" si="278"/>
        <v>417.77819761626807</v>
      </c>
      <c r="BK338" s="1"/>
      <c r="BL338" s="1"/>
    </row>
    <row r="339" spans="11:64">
      <c r="K339">
        <v>2550</v>
      </c>
      <c r="L339" s="36">
        <f>212.237268*(1628/1602)</f>
        <v>215.68181791760304</v>
      </c>
      <c r="V339">
        <f>K119</f>
        <v>1450</v>
      </c>
      <c r="W339" s="26">
        <f t="shared" si="281"/>
        <v>83.25511636232882</v>
      </c>
      <c r="Y339">
        <f t="shared" si="279"/>
        <v>1450</v>
      </c>
      <c r="Z339">
        <f t="shared" si="280"/>
        <v>83.25511636232882</v>
      </c>
      <c r="AK339">
        <f t="shared" si="277"/>
        <v>414.78096662361713</v>
      </c>
      <c r="AM339">
        <f t="shared" si="278"/>
        <v>414.78096662361713</v>
      </c>
    </row>
    <row r="340" spans="11:64">
      <c r="K340">
        <v>2555</v>
      </c>
      <c r="L340" s="36">
        <f>210.845532*(1628/1602)</f>
        <v>214.2674944419476</v>
      </c>
      <c r="V340">
        <f>K120</f>
        <v>1455</v>
      </c>
      <c r="W340" s="26">
        <f t="shared" si="281"/>
        <v>82.657270287118038</v>
      </c>
      <c r="Y340">
        <f t="shared" si="279"/>
        <v>1455</v>
      </c>
      <c r="Z340">
        <f t="shared" si="280"/>
        <v>82.657270287118038</v>
      </c>
      <c r="AK340">
        <f t="shared" si="277"/>
        <v>411.79898680635432</v>
      </c>
      <c r="AM340">
        <f t="shared" si="278"/>
        <v>411.79898680635432</v>
      </c>
    </row>
    <row r="341" spans="11:64">
      <c r="K341">
        <v>2560</v>
      </c>
      <c r="L341" s="36">
        <f>209.46492*(1628/1602)</f>
        <v>212.86447550561797</v>
      </c>
      <c r="V341">
        <f>K121</f>
        <v>1460</v>
      </c>
      <c r="W341" s="26">
        <f t="shared" si="281"/>
        <v>82.062324435423676</v>
      </c>
      <c r="Y341">
        <f t="shared" si="279"/>
        <v>1460</v>
      </c>
      <c r="Z341">
        <f t="shared" si="280"/>
        <v>82.062324435423676</v>
      </c>
      <c r="AK341">
        <f t="shared" si="277"/>
        <v>408.83200814521075</v>
      </c>
      <c r="AM341">
        <f t="shared" si="278"/>
        <v>408.83200814521075</v>
      </c>
    </row>
    <row r="342" spans="11:64">
      <c r="K342">
        <v>2565</v>
      </c>
      <c r="L342" s="36">
        <f>208.094196*(1628/1602)</f>
        <v>211.47150504868912</v>
      </c>
      <c r="V342">
        <f>K122</f>
        <v>1465</v>
      </c>
      <c r="W342" s="26">
        <f t="shared" si="281"/>
        <v>81.470478822660638</v>
      </c>
      <c r="Y342">
        <f t="shared" si="279"/>
        <v>1465</v>
      </c>
      <c r="Z342">
        <f t="shared" si="280"/>
        <v>81.470478822660638</v>
      </c>
      <c r="AK342">
        <f t="shared" si="277"/>
        <v>405.88053067872397</v>
      </c>
      <c r="AM342">
        <f t="shared" si="278"/>
        <v>405.88053067872397</v>
      </c>
    </row>
    <row r="343" spans="11:64">
      <c r="K343">
        <v>2570</v>
      </c>
      <c r="L343" s="36">
        <f>206.732124*(1628/1602)</f>
        <v>210.08732701123594</v>
      </c>
      <c r="V343">
        <f>K123</f>
        <v>1470</v>
      </c>
      <c r="W343" s="26">
        <f t="shared" si="281"/>
        <v>80.881733448828939</v>
      </c>
      <c r="Y343">
        <f t="shared" si="279"/>
        <v>1470</v>
      </c>
      <c r="Z343">
        <f t="shared" si="280"/>
        <v>80.881733448828939</v>
      </c>
      <c r="AK343">
        <f t="shared" si="277"/>
        <v>402.94455440689381</v>
      </c>
      <c r="AM343">
        <f t="shared" si="278"/>
        <v>402.94455440689381</v>
      </c>
    </row>
    <row r="344" spans="11:64">
      <c r="K344">
        <v>2575</v>
      </c>
      <c r="L344" s="36">
        <f>205.381176*(1628/1602)</f>
        <v>208.71445351310859</v>
      </c>
      <c r="V344">
        <f>K124</f>
        <v>1475</v>
      </c>
      <c r="W344" s="26">
        <f t="shared" si="281"/>
        <v>80.296088313928593</v>
      </c>
      <c r="Y344">
        <f t="shared" si="279"/>
        <v>1475</v>
      </c>
      <c r="Z344">
        <f t="shared" si="280"/>
        <v>80.296088313928593</v>
      </c>
      <c r="AK344">
        <f t="shared" si="277"/>
        <v>400.02407932972034</v>
      </c>
      <c r="AM344">
        <f t="shared" si="278"/>
        <v>400.02407932972034</v>
      </c>
    </row>
    <row r="345" spans="11:64">
      <c r="K345">
        <v>2580</v>
      </c>
      <c r="L345" s="36">
        <f>204.040116*(1628/1602)</f>
        <v>207.35162849438203</v>
      </c>
      <c r="V345">
        <f>K125</f>
        <v>1480</v>
      </c>
      <c r="W345" s="26">
        <f t="shared" si="281"/>
        <v>79.713543417959556</v>
      </c>
      <c r="Y345">
        <f t="shared" si="279"/>
        <v>1480</v>
      </c>
      <c r="Z345">
        <f t="shared" si="280"/>
        <v>79.713543417959556</v>
      </c>
      <c r="AK345">
        <f t="shared" si="277"/>
        <v>397.11935546647226</v>
      </c>
      <c r="AM345">
        <f t="shared" si="278"/>
        <v>397.11935546647226</v>
      </c>
    </row>
    <row r="346" spans="11:64">
      <c r="K346">
        <v>2585</v>
      </c>
      <c r="L346" s="36">
        <f>202.707708*(1628/1602)</f>
        <v>205.9975958951311</v>
      </c>
      <c r="V346">
        <f>K126</f>
        <v>1485</v>
      </c>
      <c r="W346" s="26">
        <f t="shared" si="281"/>
        <v>79.134198768629332</v>
      </c>
      <c r="Y346">
        <f t="shared" si="279"/>
        <v>1485</v>
      </c>
      <c r="Z346">
        <f t="shared" si="280"/>
        <v>79.134198768629332</v>
      </c>
      <c r="AK346">
        <f t="shared" si="277"/>
        <v>394.23038281714935</v>
      </c>
      <c r="AM346">
        <f t="shared" si="278"/>
        <v>394.23038281714935</v>
      </c>
    </row>
    <row r="347" spans="11:64">
      <c r="K347">
        <v>2590</v>
      </c>
      <c r="L347" s="36">
        <f>201.386424*(1628/1602)</f>
        <v>204.65486783520598</v>
      </c>
      <c r="V347">
        <f>K127</f>
        <v>1490</v>
      </c>
      <c r="W347" s="26">
        <f t="shared" si="281"/>
        <v>78.557954358230432</v>
      </c>
      <c r="Y347">
        <f t="shared" si="279"/>
        <v>1490</v>
      </c>
      <c r="Z347">
        <f t="shared" si="280"/>
        <v>78.557954358230432</v>
      </c>
      <c r="AK347">
        <f t="shared" si="277"/>
        <v>391.35691136248334</v>
      </c>
      <c r="AM347">
        <f t="shared" si="278"/>
        <v>391.35691136248334</v>
      </c>
    </row>
    <row r="348" spans="11:64">
      <c r="K348">
        <v>2595</v>
      </c>
      <c r="L348" s="36">
        <f>200.073792*(1628/1602)</f>
        <v>203.32093219475655</v>
      </c>
      <c r="V348">
        <f>K128</f>
        <v>1495</v>
      </c>
      <c r="W348" s="26">
        <f t="shared" si="281"/>
        <v>77.9848101867629</v>
      </c>
      <c r="Y348">
        <f t="shared" si="279"/>
        <v>1495</v>
      </c>
      <c r="Z348">
        <f t="shared" si="280"/>
        <v>77.9848101867629</v>
      </c>
      <c r="AK348">
        <f t="shared" si="277"/>
        <v>388.49944114101129</v>
      </c>
      <c r="AM348">
        <f t="shared" si="278"/>
        <v>388.49944114101129</v>
      </c>
    </row>
    <row r="349" spans="11:64">
      <c r="K349">
        <v>2600</v>
      </c>
      <c r="L349" s="36">
        <f>198.769812*(1628/1602)</f>
        <v>201.99578897378279</v>
      </c>
      <c r="V349">
        <f>K129</f>
        <v>1500</v>
      </c>
      <c r="W349" s="26">
        <f t="shared" si="281"/>
        <v>77.41496626964161</v>
      </c>
      <c r="Y349">
        <f t="shared" si="279"/>
        <v>1500</v>
      </c>
      <c r="Z349">
        <f t="shared" si="280"/>
        <v>77.41496626964161</v>
      </c>
      <c r="AK349">
        <f t="shared" si="277"/>
        <v>385.65822217200179</v>
      </c>
      <c r="AM349">
        <f t="shared" si="278"/>
        <v>385.65822217200179</v>
      </c>
    </row>
    <row r="350" spans="11:64">
      <c r="K350">
        <v>2605</v>
      </c>
      <c r="L350" s="36">
        <f>197.464596*(1628/1602)</f>
        <v>200.6693896928839</v>
      </c>
      <c r="V350">
        <f>K130</f>
        <v>1505</v>
      </c>
      <c r="W350" s="26">
        <f t="shared" si="281"/>
        <v>76.848322599159118</v>
      </c>
      <c r="Y350">
        <f t="shared" si="279"/>
        <v>1505</v>
      </c>
      <c r="Z350">
        <f t="shared" si="280"/>
        <v>76.848322599159118</v>
      </c>
      <c r="AK350">
        <f t="shared" si="277"/>
        <v>382.84625545742517</v>
      </c>
      <c r="AM350">
        <f t="shared" si="278"/>
        <v>382.84625545742517</v>
      </c>
    </row>
    <row r="351" spans="11:64">
      <c r="K351">
        <v>2610</v>
      </c>
      <c r="L351" s="36">
        <f>196.169268*(1628/1602)</f>
        <v>199.35303889138578</v>
      </c>
      <c r="V351">
        <f>K131</f>
        <v>1510</v>
      </c>
      <c r="W351" s="26">
        <f t="shared" si="281"/>
        <v>76.290179583810939</v>
      </c>
      <c r="Y351">
        <f t="shared" si="279"/>
        <v>1510</v>
      </c>
      <c r="Z351">
        <f t="shared" si="280"/>
        <v>76.290179583810939</v>
      </c>
      <c r="AK351">
        <f t="shared" si="277"/>
        <v>380.06379101654989</v>
      </c>
      <c r="AM351">
        <f t="shared" si="278"/>
        <v>380.06379101654989</v>
      </c>
    </row>
    <row r="352" spans="11:64">
      <c r="K352">
        <v>2615</v>
      </c>
      <c r="L352" s="36">
        <f>194.882592*(1628/1602)</f>
        <v>198.04548050936333</v>
      </c>
      <c r="V352">
        <f>K132</f>
        <v>1515</v>
      </c>
      <c r="W352" s="26">
        <f t="shared" si="281"/>
        <v>75.735336822809018</v>
      </c>
      <c r="Y352">
        <f t="shared" si="279"/>
        <v>1515</v>
      </c>
      <c r="Z352">
        <f t="shared" si="280"/>
        <v>75.735336822809018</v>
      </c>
      <c r="AK352">
        <f t="shared" si="277"/>
        <v>377.29757782813726</v>
      </c>
      <c r="AM352">
        <f t="shared" si="278"/>
        <v>377.29757782813726</v>
      </c>
    </row>
    <row r="353" spans="11:39">
      <c r="K353">
        <v>2620</v>
      </c>
      <c r="L353" s="36">
        <f>193.605804*(1628/1602)</f>
        <v>196.74797060674157</v>
      </c>
      <c r="V353">
        <f>K133</f>
        <v>1520</v>
      </c>
      <c r="W353" s="26">
        <f t="shared" si="281"/>
        <v>75.183694308445894</v>
      </c>
      <c r="Y353">
        <f t="shared" si="279"/>
        <v>1520</v>
      </c>
      <c r="Z353">
        <f t="shared" si="280"/>
        <v>75.183694308445894</v>
      </c>
      <c r="AK353">
        <f t="shared" si="277"/>
        <v>374.5471158536501</v>
      </c>
      <c r="AM353">
        <f t="shared" si="278"/>
        <v>374.5471158536501</v>
      </c>
    </row>
    <row r="354" spans="11:39">
      <c r="K354">
        <v>2625</v>
      </c>
      <c r="L354" s="36">
        <f>192.337668*(1628/1602)</f>
        <v>195.45925312359549</v>
      </c>
      <c r="V354">
        <f>K134</f>
        <v>1525</v>
      </c>
      <c r="W354" s="26">
        <f t="shared" si="281"/>
        <v>74.635152033014151</v>
      </c>
      <c r="Y354">
        <f t="shared" si="279"/>
        <v>1525</v>
      </c>
      <c r="Z354">
        <f t="shared" si="280"/>
        <v>74.635152033014151</v>
      </c>
      <c r="AK354">
        <f t="shared" si="277"/>
        <v>371.81265511235694</v>
      </c>
      <c r="AM354">
        <f t="shared" si="278"/>
        <v>371.81265511235694</v>
      </c>
    </row>
    <row r="355" spans="11:39">
      <c r="K355">
        <v>2630</v>
      </c>
      <c r="L355" s="36">
        <f>191.07942*(1628/1602)</f>
        <v>194.18058411985018</v>
      </c>
      <c r="V355">
        <f>K135</f>
        <v>1530</v>
      </c>
      <c r="W355" s="26">
        <f t="shared" si="281"/>
        <v>74.089910011928623</v>
      </c>
      <c r="Y355">
        <f t="shared" si="279"/>
        <v>1530</v>
      </c>
      <c r="Z355">
        <f t="shared" si="280"/>
        <v>74.089910011928623</v>
      </c>
      <c r="AK355">
        <f t="shared" si="277"/>
        <v>369.09419560425766</v>
      </c>
      <c r="AM355">
        <f t="shared" si="278"/>
        <v>369.09419560425766</v>
      </c>
    </row>
    <row r="356" spans="11:39">
      <c r="K356">
        <v>2635</v>
      </c>
      <c r="L356" s="36">
        <f>189.829824*(1628/1602)</f>
        <v>192.91070753558051</v>
      </c>
      <c r="V356">
        <f>K136</f>
        <v>1535</v>
      </c>
      <c r="W356" s="26">
        <f t="shared" si="281"/>
        <v>73.547768229774448</v>
      </c>
      <c r="Y356">
        <f t="shared" si="279"/>
        <v>1535</v>
      </c>
      <c r="Z356">
        <f t="shared" si="280"/>
        <v>73.547768229774448</v>
      </c>
      <c r="AK356">
        <f t="shared" si="277"/>
        <v>366.39148731008379</v>
      </c>
      <c r="AM356">
        <f t="shared" si="278"/>
        <v>366.39148731008379</v>
      </c>
    </row>
    <row r="357" spans="11:39">
      <c r="K357">
        <v>2640</v>
      </c>
      <c r="L357" s="36">
        <f>188.58888*(1628/1602)</f>
        <v>191.64962337078651</v>
      </c>
      <c r="V357">
        <f>K137</f>
        <v>1540</v>
      </c>
      <c r="W357" s="26">
        <f t="shared" si="281"/>
        <v>73.008826694259056</v>
      </c>
      <c r="Y357">
        <f t="shared" si="279"/>
        <v>1540</v>
      </c>
      <c r="Z357">
        <f t="shared" si="280"/>
        <v>73.008826694259056</v>
      </c>
      <c r="AK357">
        <f t="shared" si="277"/>
        <v>363.70478024910381</v>
      </c>
      <c r="AM357">
        <f t="shared" si="278"/>
        <v>363.70478024910381</v>
      </c>
    </row>
    <row r="358" spans="11:39">
      <c r="K358">
        <v>2645</v>
      </c>
      <c r="L358" s="36">
        <f>187.356588*(1628/1602)</f>
        <v>190.39733162546815</v>
      </c>
      <c r="V358">
        <f>K138</f>
        <v>1545</v>
      </c>
      <c r="W358" s="26">
        <f t="shared" si="281"/>
        <v>72.473085405382477</v>
      </c>
      <c r="Y358">
        <f t="shared" si="279"/>
        <v>1545</v>
      </c>
      <c r="Z358">
        <f t="shared" si="280"/>
        <v>72.473085405382477</v>
      </c>
      <c r="AK358">
        <f t="shared" si="277"/>
        <v>361.0343244405866</v>
      </c>
      <c r="AM358">
        <f t="shared" si="278"/>
        <v>361.0343244405866</v>
      </c>
    </row>
    <row r="359" spans="11:39">
      <c r="K359">
        <v>2650</v>
      </c>
      <c r="L359" s="36">
        <f>186.134184*(1628/1602)</f>
        <v>189.15508835955058</v>
      </c>
      <c r="V359">
        <f>K139</f>
        <v>1550</v>
      </c>
      <c r="W359" s="26">
        <f t="shared" si="281"/>
        <v>71.940644370852169</v>
      </c>
      <c r="Y359">
        <f t="shared" si="279"/>
        <v>1550</v>
      </c>
      <c r="Z359">
        <f t="shared" si="280"/>
        <v>71.940644370852169</v>
      </c>
      <c r="AK359">
        <f t="shared" si="277"/>
        <v>358.38011988453206</v>
      </c>
      <c r="AM359">
        <f t="shared" si="278"/>
        <v>358.38011988453206</v>
      </c>
    </row>
    <row r="360" spans="11:39">
      <c r="K360">
        <v>2655</v>
      </c>
      <c r="L360" s="36">
        <f>184.920432*(1628/1602)</f>
        <v>187.92163751310864</v>
      </c>
      <c r="V360">
        <f>K140</f>
        <v>1555</v>
      </c>
      <c r="W360" s="26">
        <f t="shared" si="281"/>
        <v>71.411403582960645</v>
      </c>
      <c r="Y360">
        <f t="shared" si="279"/>
        <v>1555</v>
      </c>
      <c r="Z360">
        <f t="shared" si="280"/>
        <v>71.411403582960645</v>
      </c>
      <c r="AK360">
        <f t="shared" si="277"/>
        <v>355.74191656167147</v>
      </c>
      <c r="AM360">
        <f t="shared" si="278"/>
        <v>355.74191656167147</v>
      </c>
    </row>
    <row r="361" spans="11:39">
      <c r="K361">
        <v>2660</v>
      </c>
      <c r="L361" s="36">
        <f>183.714096*(1628/1602)</f>
        <v>186.69572302621722</v>
      </c>
      <c r="V361">
        <f>K141</f>
        <v>1560</v>
      </c>
      <c r="W361" s="26">
        <f t="shared" si="281"/>
        <v>70.885363041707933</v>
      </c>
      <c r="Y361">
        <f t="shared" si="279"/>
        <v>1560</v>
      </c>
      <c r="Z361">
        <f t="shared" si="280"/>
        <v>70.885363041707933</v>
      </c>
      <c r="AK361">
        <f t="shared" si="277"/>
        <v>353.11996449127355</v>
      </c>
      <c r="AM361">
        <f t="shared" si="278"/>
        <v>353.11996449127355</v>
      </c>
    </row>
    <row r="362" spans="11:39">
      <c r="K362">
        <v>2665</v>
      </c>
      <c r="L362" s="36">
        <f>182.517648*(1628/1602)</f>
        <v>185.47985701872659</v>
      </c>
      <c r="V362">
        <f>K142</f>
        <v>1565</v>
      </c>
      <c r="W362" s="26">
        <f t="shared" si="281"/>
        <v>70.362622754801492</v>
      </c>
      <c r="Y362">
        <f t="shared" si="279"/>
        <v>1565</v>
      </c>
      <c r="Z362">
        <f t="shared" si="280"/>
        <v>70.362622754801492</v>
      </c>
      <c r="AK362">
        <f t="shared" si="277"/>
        <v>350.51426367333829</v>
      </c>
      <c r="AM362">
        <f t="shared" si="278"/>
        <v>350.51426367333829</v>
      </c>
    </row>
    <row r="363" spans="11:39">
      <c r="K363">
        <v>2670</v>
      </c>
      <c r="L363" s="36">
        <f>181.329852*(1628/1602)</f>
        <v>184.2727834307116</v>
      </c>
      <c r="V363">
        <f>K143</f>
        <v>1570</v>
      </c>
      <c r="W363" s="26">
        <f t="shared" si="281"/>
        <v>69.843082714533821</v>
      </c>
      <c r="Y363">
        <f t="shared" si="279"/>
        <v>1570</v>
      </c>
      <c r="Z363">
        <f t="shared" si="280"/>
        <v>69.843082714533821</v>
      </c>
      <c r="AK363">
        <f t="shared" si="277"/>
        <v>347.92456408859709</v>
      </c>
      <c r="AM363">
        <f t="shared" si="278"/>
        <v>347.92456408859709</v>
      </c>
    </row>
    <row r="364" spans="11:39">
      <c r="K364">
        <v>2675</v>
      </c>
      <c r="L364" s="36">
        <f>180.150708*(1628/1602)</f>
        <v>183.0745022621723</v>
      </c>
      <c r="V364">
        <f>K144</f>
        <v>1575</v>
      </c>
      <c r="W364" s="26">
        <f t="shared" si="281"/>
        <v>69.326742920904991</v>
      </c>
      <c r="Y364">
        <f t="shared" si="279"/>
        <v>1575</v>
      </c>
      <c r="Z364">
        <f t="shared" si="280"/>
        <v>69.326742920904991</v>
      </c>
      <c r="AK364">
        <f t="shared" si="277"/>
        <v>345.35111575631845</v>
      </c>
      <c r="AM364">
        <f t="shared" si="278"/>
        <v>345.35111575631845</v>
      </c>
    </row>
    <row r="365" spans="11:39">
      <c r="K365">
        <v>2680</v>
      </c>
      <c r="L365" s="36">
        <f>178.97898*(1628/1602)</f>
        <v>181.88375745318353</v>
      </c>
      <c r="V365">
        <f>K145</f>
        <v>1580</v>
      </c>
      <c r="W365" s="26">
        <f t="shared" si="281"/>
        <v>68.813703381622389</v>
      </c>
      <c r="Y365">
        <f t="shared" si="279"/>
        <v>1580</v>
      </c>
      <c r="Z365">
        <f t="shared" si="280"/>
        <v>68.813703381622389</v>
      </c>
      <c r="AK365">
        <f t="shared" si="277"/>
        <v>342.79391867650247</v>
      </c>
      <c r="AM365">
        <f t="shared" si="278"/>
        <v>342.79391867650247</v>
      </c>
    </row>
    <row r="366" spans="11:39">
      <c r="K366">
        <v>2685</v>
      </c>
      <c r="L366" s="36">
        <f>177.81714*(1628/1602)</f>
        <v>180.70306112359552</v>
      </c>
      <c r="V366">
        <f>K146</f>
        <v>1585</v>
      </c>
      <c r="W366" s="26">
        <f t="shared" si="281"/>
        <v>68.303864088978585</v>
      </c>
      <c r="Y366">
        <f t="shared" si="279"/>
        <v>1585</v>
      </c>
      <c r="Z366">
        <f t="shared" si="280"/>
        <v>68.303864088978585</v>
      </c>
      <c r="AK366">
        <f t="shared" si="277"/>
        <v>340.25297284914916</v>
      </c>
      <c r="AM366">
        <f t="shared" si="278"/>
        <v>340.25297284914916</v>
      </c>
    </row>
    <row r="367" spans="11:39">
      <c r="K367">
        <v>2690</v>
      </c>
      <c r="L367" s="36">
        <f>176.662716*(1628/1602)</f>
        <v>179.52990115355806</v>
      </c>
      <c r="V367">
        <f>K147</f>
        <v>1590</v>
      </c>
      <c r="W367" s="26">
        <f t="shared" si="281"/>
        <v>67.797325050681053</v>
      </c>
      <c r="Y367">
        <f t="shared" si="279"/>
        <v>1590</v>
      </c>
      <c r="Z367">
        <f t="shared" si="280"/>
        <v>67.797325050681053</v>
      </c>
      <c r="AK367">
        <f t="shared" si="277"/>
        <v>337.7282782742584</v>
      </c>
      <c r="AM367">
        <f t="shared" si="278"/>
        <v>337.7282782742584</v>
      </c>
    </row>
    <row r="368" spans="11:39">
      <c r="K368">
        <v>2695</v>
      </c>
      <c r="L368" s="36">
        <f>175.516944*(1628/1602)</f>
        <v>178.36553360299627</v>
      </c>
      <c r="V368">
        <f>K148</f>
        <v>1595</v>
      </c>
      <c r="W368" s="26">
        <f t="shared" si="281"/>
        <v>67.293986259022319</v>
      </c>
      <c r="Y368">
        <f t="shared" si="279"/>
        <v>1595</v>
      </c>
      <c r="Z368">
        <f t="shared" si="280"/>
        <v>67.293986259022319</v>
      </c>
      <c r="AK368">
        <f t="shared" si="277"/>
        <v>335.21958493256182</v>
      </c>
      <c r="AM368">
        <f t="shared" si="278"/>
        <v>335.21958493256182</v>
      </c>
    </row>
    <row r="369" spans="11:39">
      <c r="K369">
        <v>2700</v>
      </c>
      <c r="L369" s="36">
        <f>174.378588*(1628/1602)</f>
        <v>177.208702411985</v>
      </c>
      <c r="V369">
        <f>K149</f>
        <v>1600</v>
      </c>
      <c r="W369" s="26">
        <f t="shared" si="281"/>
        <v>66.793847714002396</v>
      </c>
      <c r="Y369">
        <f t="shared" si="279"/>
        <v>1600</v>
      </c>
      <c r="Z369">
        <f t="shared" si="280"/>
        <v>66.793847714002396</v>
      </c>
      <c r="AK369">
        <f t="shared" si="277"/>
        <v>332.72689282405918</v>
      </c>
      <c r="AM369">
        <f t="shared" si="278"/>
        <v>332.72689282405918</v>
      </c>
    </row>
    <row r="370" spans="11:39">
      <c r="K370">
        <v>2705</v>
      </c>
      <c r="L370" s="36">
        <f>173.248884*(1628/1602)</f>
        <v>176.06066364044943</v>
      </c>
      <c r="V370">
        <f>K150</f>
        <v>1605</v>
      </c>
      <c r="W370" s="26">
        <f t="shared" si="281"/>
        <v>66.296909415621272</v>
      </c>
      <c r="Y370">
        <f t="shared" si="279"/>
        <v>1605</v>
      </c>
      <c r="Z370">
        <f t="shared" si="280"/>
        <v>66.296909415621272</v>
      </c>
      <c r="AK370">
        <f t="shared" si="277"/>
        <v>330.28370453075041</v>
      </c>
      <c r="AM370">
        <f t="shared" si="278"/>
        <v>330.28370453075041</v>
      </c>
    </row>
    <row r="371" spans="11:39">
      <c r="K371">
        <v>2710</v>
      </c>
      <c r="L371" s="36">
        <f>172.126596*(1628/1602)</f>
        <v>174.92016122846439</v>
      </c>
      <c r="V371">
        <f>K151</f>
        <v>1610</v>
      </c>
      <c r="W371" s="26">
        <f t="shared" si="281"/>
        <v>65.816572396678907</v>
      </c>
      <c r="Y371">
        <f t="shared" si="279"/>
        <v>1610</v>
      </c>
      <c r="Z371">
        <f t="shared" si="280"/>
        <v>65.816572396678907</v>
      </c>
      <c r="AK371">
        <f t="shared" si="277"/>
        <v>327.89002005263569</v>
      </c>
      <c r="AM371">
        <f t="shared" si="278"/>
        <v>327.89002005263569</v>
      </c>
    </row>
    <row r="372" spans="11:39">
      <c r="K372">
        <v>2715</v>
      </c>
      <c r="L372" s="36">
        <f>171.014196*(1628/1602)</f>
        <v>173.78970729588016</v>
      </c>
      <c r="V372">
        <f>K152</f>
        <v>1615</v>
      </c>
      <c r="W372" s="26">
        <f t="shared" si="281"/>
        <v>65.339435624375369</v>
      </c>
      <c r="Y372">
        <f t="shared" si="279"/>
        <v>1615</v>
      </c>
      <c r="Z372">
        <f t="shared" si="280"/>
        <v>65.339435624375369</v>
      </c>
      <c r="AK372">
        <f t="shared" si="277"/>
        <v>325.51158674990904</v>
      </c>
      <c r="AM372">
        <f t="shared" si="278"/>
        <v>325.51158674990904</v>
      </c>
    </row>
    <row r="373" spans="11:39">
      <c r="K373">
        <v>2720</v>
      </c>
      <c r="L373" s="36">
        <f>169.907976*(1628/1602)</f>
        <v>172.66553366292135</v>
      </c>
      <c r="V373">
        <f>K153</f>
        <v>1620</v>
      </c>
      <c r="W373" s="26">
        <f t="shared" si="281"/>
        <v>64.865199075588222</v>
      </c>
      <c r="Y373">
        <f t="shared" si="279"/>
        <v>1620</v>
      </c>
      <c r="Z373">
        <f t="shared" si="280"/>
        <v>64.865199075588222</v>
      </c>
      <c r="AK373">
        <f t="shared" si="277"/>
        <v>323.14815460330152</v>
      </c>
      <c r="AM373">
        <f t="shared" si="278"/>
        <v>323.14815460330152</v>
      </c>
    </row>
    <row r="374" spans="11:39">
      <c r="K374">
        <v>2725</v>
      </c>
      <c r="L374" s="36">
        <f>168.810408*(1628/1602)</f>
        <v>171.5501524494382</v>
      </c>
      <c r="V374">
        <f>K154</f>
        <v>1625</v>
      </c>
      <c r="W374" s="26">
        <f t="shared" si="281"/>
        <v>64.3940627657324</v>
      </c>
      <c r="Y374">
        <f t="shared" si="279"/>
        <v>1625</v>
      </c>
      <c r="Z374">
        <f t="shared" si="280"/>
        <v>64.3940627657324</v>
      </c>
      <c r="AK374">
        <f t="shared" si="277"/>
        <v>320.80022365135085</v>
      </c>
      <c r="AM374">
        <f t="shared" si="278"/>
        <v>320.80022365135085</v>
      </c>
    </row>
    <row r="375" spans="11:39">
      <c r="K375">
        <v>2730</v>
      </c>
      <c r="L375" s="36">
        <f>167.720256*(1628/1602)</f>
        <v>170.44230759550561</v>
      </c>
      <c r="V375">
        <f>K155</f>
        <v>1630</v>
      </c>
      <c r="W375" s="26">
        <f t="shared" si="281"/>
        <v>63.926026694807945</v>
      </c>
      <c r="Y375">
        <f t="shared" si="279"/>
        <v>1630</v>
      </c>
      <c r="Z375">
        <f t="shared" si="280"/>
        <v>63.926026694807945</v>
      </c>
      <c r="AK375">
        <f t="shared" si="277"/>
        <v>318.46729385551959</v>
      </c>
      <c r="AM375">
        <f t="shared" si="278"/>
        <v>318.46729385551959</v>
      </c>
    </row>
    <row r="376" spans="11:39">
      <c r="K376">
        <v>2735</v>
      </c>
      <c r="L376" s="36">
        <f>166.63752*(1628/1602)</f>
        <v>169.3419991011236</v>
      </c>
      <c r="V376">
        <f>K156</f>
        <v>1635</v>
      </c>
      <c r="W376" s="26">
        <f t="shared" si="281"/>
        <v>63.460890847399881</v>
      </c>
      <c r="Y376">
        <f t="shared" si="279"/>
        <v>1635</v>
      </c>
      <c r="Z376">
        <f t="shared" si="280"/>
        <v>63.460890847399881</v>
      </c>
      <c r="AK376">
        <f t="shared" si="277"/>
        <v>316.14961523507634</v>
      </c>
      <c r="AM376">
        <f t="shared" si="278"/>
        <v>316.14961523507634</v>
      </c>
    </row>
    <row r="377" spans="11:39">
      <c r="K377">
        <v>2740</v>
      </c>
      <c r="L377" s="36">
        <f>165.563436*(1628/1602)</f>
        <v>168.25048302621724</v>
      </c>
      <c r="V377">
        <f>K157</f>
        <v>1640</v>
      </c>
      <c r="W377" s="26">
        <f t="shared" si="281"/>
        <v>62.998955246630636</v>
      </c>
      <c r="Y377">
        <f t="shared" si="279"/>
        <v>1640</v>
      </c>
      <c r="Z377">
        <f t="shared" si="280"/>
        <v>62.998955246630636</v>
      </c>
      <c r="AK377">
        <f t="shared" si="277"/>
        <v>313.847187790021</v>
      </c>
      <c r="AM377">
        <f t="shared" si="278"/>
        <v>313.847187790021</v>
      </c>
    </row>
    <row r="378" spans="11:39">
      <c r="K378">
        <v>2745</v>
      </c>
      <c r="L378" s="36">
        <f>164.498004*(1628/1602)</f>
        <v>167.16775937078651</v>
      </c>
      <c r="V378">
        <f>K158</f>
        <v>1645</v>
      </c>
      <c r="W378" s="26">
        <f t="shared" si="281"/>
        <v>62.539919869377769</v>
      </c>
      <c r="Y378">
        <f t="shared" si="279"/>
        <v>1645</v>
      </c>
      <c r="Z378">
        <f t="shared" si="280"/>
        <v>62.539919869377769</v>
      </c>
      <c r="AK378">
        <f t="shared" si="277"/>
        <v>311.55976150108506</v>
      </c>
      <c r="AM378">
        <f t="shared" si="278"/>
        <v>311.55976150108506</v>
      </c>
    </row>
    <row r="379" spans="11:39">
      <c r="K379">
        <v>2750</v>
      </c>
      <c r="L379" s="36">
        <f>163.438752*(1628/1602)</f>
        <v>166.09131601498126</v>
      </c>
      <c r="V379">
        <f>K159</f>
        <v>1650</v>
      </c>
      <c r="W379" s="26">
        <f t="shared" si="281"/>
        <v>62.083984731056269</v>
      </c>
      <c r="Y379">
        <f t="shared" si="279"/>
        <v>1650</v>
      </c>
      <c r="Z379">
        <f t="shared" si="280"/>
        <v>62.083984731056269</v>
      </c>
      <c r="AK379">
        <f t="shared" si="277"/>
        <v>309.28758638753726</v>
      </c>
      <c r="AM379">
        <f t="shared" si="278"/>
        <v>309.28758638753726</v>
      </c>
    </row>
    <row r="380" spans="11:39">
      <c r="K380">
        <v>2755</v>
      </c>
      <c r="L380" s="36">
        <f>162.386916*(1628/1602)</f>
        <v>165.02240901872659</v>
      </c>
      <c r="V380">
        <f>K160</f>
        <v>1655</v>
      </c>
      <c r="W380" s="26">
        <f t="shared" si="281"/>
        <v>61.631049823958641</v>
      </c>
      <c r="Y380">
        <f t="shared" si="279"/>
        <v>1655</v>
      </c>
      <c r="Z380">
        <f t="shared" si="280"/>
        <v>61.631049823958641</v>
      </c>
      <c r="AK380">
        <f t="shared" si="277"/>
        <v>307.03066244937747</v>
      </c>
      <c r="AM380">
        <f t="shared" si="278"/>
        <v>307.03066244937747</v>
      </c>
    </row>
    <row r="381" spans="11:39">
      <c r="K381">
        <v>2760</v>
      </c>
      <c r="L381" s="36">
        <f>161.34126*(1628/1602)</f>
        <v>163.95978232209737</v>
      </c>
      <c r="V381">
        <f>K161</f>
        <v>1660</v>
      </c>
      <c r="W381" s="26">
        <f t="shared" si="281"/>
        <v>61.181215155792337</v>
      </c>
      <c r="Y381">
        <f t="shared" si="279"/>
        <v>1660</v>
      </c>
      <c r="Z381">
        <f t="shared" si="280"/>
        <v>61.181215155792337</v>
      </c>
      <c r="AK381">
        <f t="shared" si="277"/>
        <v>304.78873966733704</v>
      </c>
      <c r="AM381">
        <f t="shared" si="278"/>
        <v>304.78873966733704</v>
      </c>
    </row>
    <row r="382" spans="11:39">
      <c r="K382">
        <v>2765</v>
      </c>
      <c r="L382" s="36">
        <f>160.305492*(1628/1602)</f>
        <v>162.90720410486892</v>
      </c>
      <c r="V382">
        <f>K162</f>
        <v>1665</v>
      </c>
      <c r="W382" s="26">
        <f t="shared" si="281"/>
        <v>60.734280711142461</v>
      </c>
      <c r="Y382">
        <f t="shared" si="279"/>
        <v>1665</v>
      </c>
      <c r="Z382">
        <f t="shared" si="280"/>
        <v>60.734280711142461</v>
      </c>
      <c r="AK382">
        <f t="shared" si="277"/>
        <v>302.56156802214724</v>
      </c>
      <c r="AM382">
        <f t="shared" si="278"/>
        <v>302.56156802214724</v>
      </c>
    </row>
    <row r="383" spans="11:39">
      <c r="K383">
        <v>2770</v>
      </c>
      <c r="L383" s="36">
        <f>159.275904*(1628/1602)</f>
        <v>161.86090618726595</v>
      </c>
      <c r="V383">
        <f>K163</f>
        <v>1670</v>
      </c>
      <c r="W383" s="26">
        <f t="shared" si="281"/>
        <v>60.290346497716442</v>
      </c>
      <c r="Y383">
        <f t="shared" si="279"/>
        <v>1670</v>
      </c>
      <c r="Z383">
        <f t="shared" si="280"/>
        <v>60.290346497716442</v>
      </c>
      <c r="AK383">
        <f t="shared" si="277"/>
        <v>300.34939753307691</v>
      </c>
      <c r="AM383">
        <f t="shared" si="278"/>
        <v>300.34939753307691</v>
      </c>
    </row>
    <row r="384" spans="11:39">
      <c r="K384">
        <v>2775</v>
      </c>
      <c r="L384" s="36">
        <f>158.253732*(1628/1602)</f>
        <v>160.82214462921348</v>
      </c>
      <c r="V384">
        <f>K164</f>
        <v>1675</v>
      </c>
      <c r="W384" s="26">
        <f t="shared" si="281"/>
        <v>59.849412515514317</v>
      </c>
      <c r="Y384">
        <f t="shared" si="279"/>
        <v>1675</v>
      </c>
      <c r="Z384">
        <f t="shared" si="280"/>
        <v>59.849412515514317</v>
      </c>
      <c r="AK384">
        <f t="shared" si="277"/>
        <v>298.15222820012593</v>
      </c>
      <c r="AM384">
        <f t="shared" si="278"/>
        <v>298.15222820012593</v>
      </c>
    </row>
    <row r="385" spans="11:39">
      <c r="K385">
        <v>2780</v>
      </c>
      <c r="L385" s="36">
        <f>157.238976*(1628/1602)</f>
        <v>159.79091943071163</v>
      </c>
      <c r="V385">
        <f>K165</f>
        <v>1680</v>
      </c>
      <c r="W385" s="26">
        <f t="shared" si="281"/>
        <v>59.411478764536049</v>
      </c>
      <c r="Y385">
        <f t="shared" si="279"/>
        <v>1680</v>
      </c>
      <c r="Z385">
        <f t="shared" si="280"/>
        <v>59.411478764536049</v>
      </c>
      <c r="AK385">
        <f t="shared" si="277"/>
        <v>295.96981000402565</v>
      </c>
      <c r="AM385">
        <f t="shared" si="278"/>
        <v>295.96981000402565</v>
      </c>
    </row>
    <row r="386" spans="11:39">
      <c r="K386">
        <v>2785</v>
      </c>
      <c r="L386" s="36">
        <f>156.2304*(1628/1602)</f>
        <v>158.76597453183521</v>
      </c>
      <c r="V386">
        <f>K166</f>
        <v>1685</v>
      </c>
      <c r="W386" s="26">
        <f t="shared" si="281"/>
        <v>58.976445237074202</v>
      </c>
      <c r="Y386">
        <f t="shared" si="279"/>
        <v>1685</v>
      </c>
      <c r="Z386">
        <f t="shared" si="280"/>
        <v>58.976445237074202</v>
      </c>
      <c r="AK386">
        <f t="shared" si="277"/>
        <v>293.80239296404477</v>
      </c>
      <c r="AM386">
        <f t="shared" si="278"/>
        <v>293.80239296404477</v>
      </c>
    </row>
    <row r="387" spans="11:39">
      <c r="K387">
        <v>2790</v>
      </c>
      <c r="L387" s="36">
        <f>155.230476*(1628/1602)</f>
        <v>157.7498220524345</v>
      </c>
      <c r="V387">
        <f>K167</f>
        <v>1690</v>
      </c>
      <c r="W387" s="26">
        <f t="shared" si="281"/>
        <v>58.544511948543693</v>
      </c>
      <c r="Y387">
        <f t="shared" si="279"/>
        <v>1690</v>
      </c>
      <c r="Z387">
        <f t="shared" si="280"/>
        <v>58.544511948543693</v>
      </c>
      <c r="AK387">
        <f t="shared" si="277"/>
        <v>291.64972706091459</v>
      </c>
      <c r="AM387">
        <f t="shared" si="278"/>
        <v>291.64972706091459</v>
      </c>
    </row>
    <row r="388" spans="11:39">
      <c r="K388">
        <v>2795</v>
      </c>
      <c r="L388" s="36">
        <f>154.236732*(1628/1602)</f>
        <v>156.73994987265917</v>
      </c>
      <c r="V388">
        <f>K168</f>
        <v>1695</v>
      </c>
      <c r="W388" s="26">
        <f t="shared" si="281"/>
        <v>58.115378875822138</v>
      </c>
      <c r="Y388">
        <f t="shared" si="279"/>
        <v>1695</v>
      </c>
      <c r="Z388">
        <f t="shared" si="280"/>
        <v>58.115378875822138</v>
      </c>
      <c r="AK388">
        <f t="shared" si="277"/>
        <v>289.51156227536649</v>
      </c>
      <c r="AM388">
        <f t="shared" si="278"/>
        <v>289.51156227536649</v>
      </c>
    </row>
    <row r="389" spans="11:39">
      <c r="K389">
        <v>2800</v>
      </c>
      <c r="L389" s="36">
        <f>153.250404*(1628/1602)</f>
        <v>155.73761405243442</v>
      </c>
      <c r="V389">
        <f>K169</f>
        <v>1700</v>
      </c>
      <c r="W389" s="26">
        <f t="shared" si="281"/>
        <v>57.689246034324462</v>
      </c>
      <c r="Y389">
        <f t="shared" si="279"/>
        <v>1700</v>
      </c>
      <c r="Z389">
        <f t="shared" si="280"/>
        <v>57.689246034324462</v>
      </c>
      <c r="AK389">
        <f t="shared" si="277"/>
        <v>287.38814862666908</v>
      </c>
      <c r="AM389">
        <f t="shared" si="278"/>
        <v>287.38814862666908</v>
      </c>
    </row>
    <row r="390" spans="11:39">
      <c r="K390">
        <v>2805</v>
      </c>
      <c r="L390" s="36">
        <f>152.294976*(1628/1602)</f>
        <v>154.76667973033707</v>
      </c>
      <c r="V390">
        <f>K170</f>
        <v>1705</v>
      </c>
      <c r="W390" s="26">
        <f t="shared" si="281"/>
        <v>57.266013416343178</v>
      </c>
      <c r="Y390">
        <f t="shared" si="279"/>
        <v>1705</v>
      </c>
      <c r="Z390">
        <f t="shared" si="280"/>
        <v>57.266013416343178</v>
      </c>
      <c r="AK390">
        <f t="shared" si="277"/>
        <v>285.27948611482242</v>
      </c>
      <c r="AM390">
        <f t="shared" si="278"/>
        <v>285.27948611482242</v>
      </c>
    </row>
    <row r="391" spans="11:39">
      <c r="K391">
        <v>2810</v>
      </c>
      <c r="L391" s="36">
        <f>151.345728*(1628/1602)</f>
        <v>153.80202570786514</v>
      </c>
      <c r="V391">
        <f>K171</f>
        <v>1710</v>
      </c>
      <c r="W391" s="26">
        <f t="shared" si="281"/>
        <v>56.845781029585787</v>
      </c>
      <c r="Y391">
        <f t="shared" si="279"/>
        <v>1710</v>
      </c>
      <c r="Z391">
        <f t="shared" si="280"/>
        <v>56.845781029585787</v>
      </c>
      <c r="AK391">
        <f t="shared" si="277"/>
        <v>283.18557473982645</v>
      </c>
      <c r="AM391">
        <f t="shared" si="278"/>
        <v>283.18557473982645</v>
      </c>
    </row>
    <row r="392" spans="11:39">
      <c r="K392">
        <v>2815</v>
      </c>
      <c r="L392" s="36">
        <f>150.40266*(1628/1602)</f>
        <v>152.84365198501874</v>
      </c>
      <c r="V392">
        <f>K172</f>
        <v>1715</v>
      </c>
      <c r="W392" s="26">
        <f t="shared" si="281"/>
        <v>56.428448866344802</v>
      </c>
      <c r="Y392">
        <f t="shared" si="279"/>
        <v>1715</v>
      </c>
      <c r="Z392">
        <f t="shared" si="280"/>
        <v>56.428448866344802</v>
      </c>
      <c r="AK392">
        <f t="shared" si="277"/>
        <v>281.10616448241262</v>
      </c>
      <c r="AM392">
        <f t="shared" si="278"/>
        <v>281.10616448241262</v>
      </c>
    </row>
    <row r="393" spans="11:39">
      <c r="K393">
        <v>2820</v>
      </c>
      <c r="L393" s="36">
        <f>149.467008*(1628/1602)</f>
        <v>151.89281462172283</v>
      </c>
      <c r="V393">
        <f>K173</f>
        <v>1720</v>
      </c>
      <c r="W393" s="26">
        <f t="shared" si="281"/>
        <v>56.014016926620229</v>
      </c>
      <c r="Y393">
        <f t="shared" si="279"/>
        <v>1720</v>
      </c>
      <c r="Z393">
        <f t="shared" si="280"/>
        <v>56.014016926620229</v>
      </c>
      <c r="AK393">
        <f t="shared" si="277"/>
        <v>279.04100532331205</v>
      </c>
      <c r="AM393">
        <f t="shared" si="278"/>
        <v>279.04100532331205</v>
      </c>
    </row>
    <row r="394" spans="11:39">
      <c r="K394">
        <v>2825</v>
      </c>
      <c r="L394" s="36">
        <f>148.537536*(1628/1602)</f>
        <v>150.94825755805243</v>
      </c>
      <c r="V394">
        <f>K174</f>
        <v>1725</v>
      </c>
      <c r="W394" s="26">
        <f t="shared" si="281"/>
        <v>55.602385202704596</v>
      </c>
      <c r="Y394">
        <f t="shared" si="279"/>
        <v>1725</v>
      </c>
      <c r="Z394">
        <f t="shared" si="280"/>
        <v>55.602385202704596</v>
      </c>
      <c r="AK394">
        <f t="shared" si="277"/>
        <v>276.99034728179362</v>
      </c>
      <c r="AM394">
        <f t="shared" si="278"/>
        <v>276.99034728179362</v>
      </c>
    </row>
    <row r="395" spans="11:39">
      <c r="K395">
        <v>2830</v>
      </c>
      <c r="L395" s="36">
        <f>147.614244*(1628/1602)</f>
        <v>150.00998079400748</v>
      </c>
      <c r="V395">
        <f>K175</f>
        <v>1730</v>
      </c>
      <c r="W395" s="26">
        <f t="shared" si="281"/>
        <v>55.193753710012857</v>
      </c>
      <c r="Y395">
        <f t="shared" si="279"/>
        <v>1730</v>
      </c>
      <c r="Z395">
        <f t="shared" si="280"/>
        <v>55.193753710012857</v>
      </c>
      <c r="AK395">
        <f t="shared" si="277"/>
        <v>274.95394033858861</v>
      </c>
      <c r="AM395">
        <f t="shared" si="278"/>
        <v>274.95394033858861</v>
      </c>
    </row>
    <row r="396" spans="11:39">
      <c r="K396">
        <v>2835</v>
      </c>
      <c r="L396" s="36">
        <f>146.698368*(1628/1602)</f>
        <v>149.0792403895131</v>
      </c>
      <c r="V396">
        <f>K176</f>
        <v>1735</v>
      </c>
      <c r="W396" s="26">
        <f t="shared" si="281"/>
        <v>54.78782242542259</v>
      </c>
      <c r="Y396">
        <f t="shared" si="279"/>
        <v>1735</v>
      </c>
      <c r="Z396">
        <f t="shared" si="280"/>
        <v>54.78782242542259</v>
      </c>
      <c r="AK396">
        <f t="shared" si="277"/>
        <v>272.93178449369697</v>
      </c>
      <c r="AM396">
        <f t="shared" si="278"/>
        <v>272.93178449369697</v>
      </c>
    </row>
    <row r="397" spans="11:39">
      <c r="K397">
        <v>2840</v>
      </c>
      <c r="L397" s="36">
        <f>145.787436*(1628/1602)</f>
        <v>148.15352422471909</v>
      </c>
      <c r="V397">
        <f>K177</f>
        <v>1740</v>
      </c>
      <c r="W397" s="26">
        <f t="shared" si="281"/>
        <v>54.384891372056202</v>
      </c>
      <c r="Y397">
        <f t="shared" si="279"/>
        <v>1740</v>
      </c>
      <c r="Z397">
        <f t="shared" si="280"/>
        <v>54.384891372056202</v>
      </c>
      <c r="AK397">
        <f t="shared" ref="AK397:AK460" si="282">0.5*(V398-V397)*(W397+W398)</f>
        <v>270.92412976638741</v>
      </c>
      <c r="AM397">
        <f t="shared" ref="AM397:AM460" si="283">0.5*(V398-V397)*(W397+W398)</f>
        <v>270.92412976638741</v>
      </c>
    </row>
    <row r="398" spans="11:39">
      <c r="K398">
        <v>2845</v>
      </c>
      <c r="L398" s="36">
        <f>144.88392*(1628/1602)</f>
        <v>147.23534441947564</v>
      </c>
      <c r="V398">
        <f>K178</f>
        <v>1745</v>
      </c>
      <c r="W398" s="26">
        <f t="shared" si="281"/>
        <v>53.984760534498761</v>
      </c>
      <c r="Y398">
        <f t="shared" ref="Y398:Y461" si="284">V398</f>
        <v>1745</v>
      </c>
      <c r="Z398">
        <f t="shared" ref="Z398:Z461" si="285">W398</f>
        <v>53.984760534498761</v>
      </c>
      <c r="AK398">
        <f t="shared" si="282"/>
        <v>268.93047611812267</v>
      </c>
      <c r="AM398">
        <f t="shared" si="283"/>
        <v>268.93047611812267</v>
      </c>
    </row>
    <row r="399" spans="11:39">
      <c r="K399">
        <v>2850</v>
      </c>
      <c r="L399" s="36">
        <f>143.986584*(1628/1602)</f>
        <v>146.32344491385768</v>
      </c>
      <c r="V399">
        <f>K179</f>
        <v>1750</v>
      </c>
      <c r="W399" s="26">
        <f t="shared" ref="W399:W462" si="286">IF(L178=0,0,L178/$T$51)</f>
        <v>53.587429912750288</v>
      </c>
      <c r="Y399">
        <f t="shared" si="284"/>
        <v>1750</v>
      </c>
      <c r="Z399">
        <f t="shared" si="285"/>
        <v>53.587429912750288</v>
      </c>
      <c r="AK399">
        <f t="shared" si="282"/>
        <v>266.95082354890258</v>
      </c>
      <c r="AM399">
        <f t="shared" si="283"/>
        <v>266.95082354890258</v>
      </c>
    </row>
    <row r="400" spans="11:39">
      <c r="K400">
        <v>2855</v>
      </c>
      <c r="L400" s="36">
        <f>143.095428*(1628/1602)</f>
        <v>145.41782570786518</v>
      </c>
      <c r="V400">
        <f>K180</f>
        <v>1755</v>
      </c>
      <c r="W400" s="26">
        <f t="shared" si="286"/>
        <v>53.19289950681074</v>
      </c>
      <c r="Y400">
        <f t="shared" si="284"/>
        <v>1755</v>
      </c>
      <c r="Z400">
        <f t="shared" si="285"/>
        <v>53.19289950681074</v>
      </c>
      <c r="AK400">
        <f t="shared" si="282"/>
        <v>264.98542207799585</v>
      </c>
      <c r="AM400">
        <f t="shared" si="283"/>
        <v>264.98542207799585</v>
      </c>
    </row>
    <row r="401" spans="11:39">
      <c r="K401">
        <v>2860</v>
      </c>
      <c r="L401" s="36">
        <f>142.210452*(1628/1602)</f>
        <v>144.51848680149811</v>
      </c>
      <c r="V401">
        <f>K181</f>
        <v>1760</v>
      </c>
      <c r="W401" s="26">
        <f t="shared" si="286"/>
        <v>52.801269324387619</v>
      </c>
      <c r="Y401">
        <f t="shared" si="284"/>
        <v>1760</v>
      </c>
      <c r="Z401">
        <f t="shared" si="285"/>
        <v>52.801269324387619</v>
      </c>
      <c r="AK401">
        <f t="shared" si="282"/>
        <v>263.034021686134</v>
      </c>
      <c r="AM401">
        <f t="shared" si="283"/>
        <v>263.034021686134</v>
      </c>
    </row>
    <row r="402" spans="11:39">
      <c r="K402">
        <v>2865</v>
      </c>
      <c r="L402" s="36">
        <f>141.33042*(1628/1602)</f>
        <v>143.62417213483147</v>
      </c>
      <c r="V402">
        <f>K182</f>
        <v>1765</v>
      </c>
      <c r="W402" s="26">
        <f t="shared" si="286"/>
        <v>52.412339350065984</v>
      </c>
      <c r="Y402">
        <f t="shared" si="284"/>
        <v>1765</v>
      </c>
      <c r="Z402">
        <f t="shared" si="285"/>
        <v>52.412339350065984</v>
      </c>
      <c r="AK402">
        <f t="shared" si="282"/>
        <v>261.09637235404819</v>
      </c>
      <c r="AM402">
        <f t="shared" si="283"/>
        <v>261.09637235404819</v>
      </c>
    </row>
    <row r="403" spans="11:39">
      <c r="K403">
        <v>2870</v>
      </c>
      <c r="L403" s="36">
        <f>140.457804*(1628/1602)</f>
        <v>142.73739382771535</v>
      </c>
      <c r="V403">
        <f>K183</f>
        <v>1770</v>
      </c>
      <c r="W403" s="26">
        <f t="shared" si="286"/>
        <v>52.02620959155329</v>
      </c>
      <c r="Y403">
        <f t="shared" si="284"/>
        <v>1770</v>
      </c>
      <c r="Z403">
        <f t="shared" si="285"/>
        <v>52.02620959155329</v>
      </c>
      <c r="AK403">
        <f t="shared" si="282"/>
        <v>259.17247408173847</v>
      </c>
      <c r="AM403">
        <f t="shared" si="283"/>
        <v>259.17247408173847</v>
      </c>
    </row>
    <row r="404" spans="11:39">
      <c r="K404">
        <v>2875</v>
      </c>
      <c r="L404" s="36">
        <f>139.590132*(1628/1602)</f>
        <v>141.85563976029962</v>
      </c>
      <c r="V404">
        <f>K184</f>
        <v>1775</v>
      </c>
      <c r="W404" s="26">
        <f t="shared" si="286"/>
        <v>51.642780041142096</v>
      </c>
      <c r="Y404">
        <f t="shared" si="284"/>
        <v>1775</v>
      </c>
      <c r="Z404">
        <f t="shared" si="285"/>
        <v>51.642780041142096</v>
      </c>
      <c r="AK404">
        <f t="shared" si="282"/>
        <v>257.26257688847352</v>
      </c>
      <c r="AM404">
        <f t="shared" si="283"/>
        <v>257.26257688847352</v>
      </c>
    </row>
    <row r="405" spans="11:39">
      <c r="K405">
        <v>2880</v>
      </c>
      <c r="L405" s="36">
        <f>138.72864*(1628/1602)</f>
        <v>140.98016599250934</v>
      </c>
      <c r="V405">
        <f>K185</f>
        <v>1780</v>
      </c>
      <c r="W405" s="26">
        <f t="shared" si="286"/>
        <v>51.262250714247308</v>
      </c>
      <c r="Y405">
        <f t="shared" si="284"/>
        <v>1780</v>
      </c>
      <c r="Z405">
        <f t="shared" si="285"/>
        <v>51.262250714247308</v>
      </c>
      <c r="AK405">
        <f t="shared" si="282"/>
        <v>255.36643075498463</v>
      </c>
      <c r="AM405">
        <f t="shared" si="283"/>
        <v>255.36643075498463</v>
      </c>
    </row>
    <row r="406" spans="11:39">
      <c r="K406">
        <v>2885</v>
      </c>
      <c r="L406" s="36">
        <f>137.874564*(1628/1602)</f>
        <v>140.1122285842697</v>
      </c>
      <c r="V406">
        <f>K186</f>
        <v>1785</v>
      </c>
      <c r="W406" s="26">
        <f t="shared" si="286"/>
        <v>50.884321587746548</v>
      </c>
      <c r="Y406">
        <f t="shared" si="284"/>
        <v>1785</v>
      </c>
      <c r="Z406">
        <f t="shared" si="285"/>
        <v>50.884321587746548</v>
      </c>
      <c r="AK406">
        <f t="shared" si="282"/>
        <v>253.48378566200319</v>
      </c>
      <c r="AM406">
        <f t="shared" si="283"/>
        <v>253.48378566200319</v>
      </c>
    </row>
    <row r="407" spans="11:39">
      <c r="K407">
        <v>2890</v>
      </c>
      <c r="L407" s="36">
        <f>137.025432*(1628/1602)</f>
        <v>139.24931541573036</v>
      </c>
      <c r="V407">
        <f>K187</f>
        <v>1790</v>
      </c>
      <c r="W407" s="26">
        <f t="shared" si="286"/>
        <v>50.509192677054727</v>
      </c>
      <c r="Y407">
        <f t="shared" si="284"/>
        <v>1790</v>
      </c>
      <c r="Z407">
        <f t="shared" si="285"/>
        <v>50.509192677054727</v>
      </c>
      <c r="AK407">
        <f t="shared" si="282"/>
        <v>251.61464160952917</v>
      </c>
      <c r="AM407">
        <f t="shared" si="283"/>
        <v>251.61464160952917</v>
      </c>
    </row>
    <row r="408" spans="11:39">
      <c r="K408">
        <v>2895</v>
      </c>
      <c r="L408" s="36">
        <f>136.181244*(1628/1602)</f>
        <v>138.39142648689139</v>
      </c>
      <c r="V408">
        <f>K188</f>
        <v>1795</v>
      </c>
      <c r="W408" s="26">
        <f t="shared" si="286"/>
        <v>50.136663966756942</v>
      </c>
      <c r="Y408">
        <f t="shared" si="284"/>
        <v>1795</v>
      </c>
      <c r="Z408">
        <f t="shared" si="285"/>
        <v>50.136663966756942</v>
      </c>
      <c r="AK408">
        <f t="shared" si="282"/>
        <v>249.7589985975626</v>
      </c>
      <c r="AM408">
        <f t="shared" si="283"/>
        <v>249.7589985975626</v>
      </c>
    </row>
    <row r="409" spans="11:39">
      <c r="K409">
        <v>2900</v>
      </c>
      <c r="L409" s="36">
        <f>135.344472*(1628/1602)</f>
        <v>137.541073917603</v>
      </c>
      <c r="V409">
        <f>K189</f>
        <v>1800</v>
      </c>
      <c r="W409" s="26">
        <f t="shared" si="286"/>
        <v>49.766935472268109</v>
      </c>
      <c r="Y409">
        <f t="shared" si="284"/>
        <v>1800</v>
      </c>
      <c r="Z409">
        <f t="shared" si="285"/>
        <v>49.766935472268109</v>
      </c>
      <c r="AK409">
        <f t="shared" si="282"/>
        <v>247.91710664537214</v>
      </c>
      <c r="AM409">
        <f t="shared" si="283"/>
        <v>247.91710664537214</v>
      </c>
    </row>
    <row r="410" spans="11:39">
      <c r="K410">
        <v>2905</v>
      </c>
      <c r="L410" s="36">
        <f>134.512644*(1628/1602)</f>
        <v>136.69574558801497</v>
      </c>
      <c r="V410">
        <f>K190</f>
        <v>1805</v>
      </c>
      <c r="W410" s="26">
        <f t="shared" si="286"/>
        <v>49.39990718588075</v>
      </c>
      <c r="Y410">
        <f t="shared" si="284"/>
        <v>1805</v>
      </c>
      <c r="Z410">
        <f t="shared" si="285"/>
        <v>49.39990718588075</v>
      </c>
      <c r="AK410">
        <f t="shared" si="282"/>
        <v>246.08721561807715</v>
      </c>
      <c r="AM410">
        <f t="shared" si="283"/>
        <v>246.08721561807715</v>
      </c>
    </row>
    <row r="411" spans="11:39">
      <c r="K411">
        <v>2910</v>
      </c>
      <c r="L411" s="36">
        <f>133.686996*(1628/1602)</f>
        <v>135.85669755805245</v>
      </c>
      <c r="V411">
        <f>K191</f>
        <v>1810</v>
      </c>
      <c r="W411" s="26">
        <f t="shared" si="286"/>
        <v>49.034979061350114</v>
      </c>
      <c r="Y411">
        <f t="shared" si="284"/>
        <v>1810</v>
      </c>
      <c r="Z411">
        <f t="shared" si="285"/>
        <v>49.034979061350114</v>
      </c>
      <c r="AK411">
        <f t="shared" si="282"/>
        <v>244.26907549640902</v>
      </c>
      <c r="AM411">
        <f t="shared" si="283"/>
        <v>244.26907549640902</v>
      </c>
    </row>
    <row r="412" spans="11:39">
      <c r="K412">
        <v>2915</v>
      </c>
      <c r="L412" s="36">
        <f>132.865056*(1628/1602)</f>
        <v>135.02141770786517</v>
      </c>
      <c r="V412">
        <f>K192</f>
        <v>1815</v>
      </c>
      <c r="W412" s="26">
        <f t="shared" si="286"/>
        <v>48.672651137213499</v>
      </c>
      <c r="Y412">
        <f t="shared" si="284"/>
        <v>1815</v>
      </c>
      <c r="Z412">
        <f t="shared" si="285"/>
        <v>48.672651137213499</v>
      </c>
      <c r="AK412">
        <f t="shared" si="282"/>
        <v>242.46393637671102</v>
      </c>
      <c r="AM412">
        <f t="shared" si="283"/>
        <v>242.46393637671102</v>
      </c>
    </row>
    <row r="413" spans="11:39">
      <c r="K413">
        <v>2920</v>
      </c>
      <c r="L413" s="36">
        <f>132.050532*(1628/1602)</f>
        <v>134.19367421722848</v>
      </c>
      <c r="V413">
        <f>K193</f>
        <v>1820</v>
      </c>
      <c r="W413" s="26">
        <f t="shared" si="286"/>
        <v>48.312923413470905</v>
      </c>
      <c r="Y413">
        <f t="shared" si="284"/>
        <v>1820</v>
      </c>
      <c r="Z413">
        <f t="shared" si="285"/>
        <v>48.312923413470905</v>
      </c>
      <c r="AK413">
        <f t="shared" si="282"/>
        <v>240.67229829752046</v>
      </c>
      <c r="AM413">
        <f t="shared" si="283"/>
        <v>240.67229829752046</v>
      </c>
    </row>
    <row r="414" spans="11:39">
      <c r="K414">
        <v>2925</v>
      </c>
      <c r="L414" s="36">
        <f>131.240952*(1628/1602)</f>
        <v>133.37095496629215</v>
      </c>
      <c r="V414">
        <f>K194</f>
        <v>1825</v>
      </c>
      <c r="W414" s="26">
        <f t="shared" si="286"/>
        <v>47.955995905537272</v>
      </c>
      <c r="Y414">
        <f t="shared" si="284"/>
        <v>1825</v>
      </c>
      <c r="Z414">
        <f t="shared" si="285"/>
        <v>47.955995905537272</v>
      </c>
      <c r="AK414">
        <f t="shared" si="282"/>
        <v>238.89391123956869</v>
      </c>
      <c r="AM414">
        <f t="shared" si="283"/>
        <v>238.89391123956869</v>
      </c>
    </row>
    <row r="415" spans="11:39">
      <c r="K415">
        <v>2930</v>
      </c>
      <c r="L415" s="36">
        <f>130.437552*(1628/1602)</f>
        <v>132.55451601498129</v>
      </c>
      <c r="V415">
        <f>K195</f>
        <v>1830</v>
      </c>
      <c r="W415" s="26">
        <f t="shared" si="286"/>
        <v>47.601568590290199</v>
      </c>
      <c r="Y415">
        <f t="shared" si="284"/>
        <v>1830</v>
      </c>
      <c r="Z415">
        <f t="shared" si="285"/>
        <v>47.601568590290199</v>
      </c>
      <c r="AK415">
        <f t="shared" si="282"/>
        <v>237.12827516431838</v>
      </c>
      <c r="AM415">
        <f t="shared" si="283"/>
        <v>237.12827516431838</v>
      </c>
    </row>
    <row r="416" spans="11:39">
      <c r="K416">
        <v>2935</v>
      </c>
      <c r="L416" s="36">
        <f>129.640332*(1628/1602)</f>
        <v>131.74435736329588</v>
      </c>
      <c r="V416">
        <f>K196</f>
        <v>1835</v>
      </c>
      <c r="W416" s="26">
        <f t="shared" si="286"/>
        <v>47.249741475437141</v>
      </c>
      <c r="Y416">
        <f t="shared" si="284"/>
        <v>1835</v>
      </c>
      <c r="Z416">
        <f t="shared" si="285"/>
        <v>47.249741475437141</v>
      </c>
      <c r="AK416">
        <f t="shared" si="282"/>
        <v>235.37564009103815</v>
      </c>
      <c r="AM416">
        <f t="shared" si="283"/>
        <v>235.37564009103815</v>
      </c>
    </row>
    <row r="417" spans="11:39">
      <c r="K417">
        <v>2940</v>
      </c>
      <c r="L417" s="36">
        <f>128.84682*(1628/1602)</f>
        <v>130.93796689138577</v>
      </c>
      <c r="V417">
        <f>K197</f>
        <v>1840</v>
      </c>
      <c r="W417" s="26">
        <f t="shared" si="286"/>
        <v>46.900514560978117</v>
      </c>
      <c r="Y417">
        <f t="shared" si="284"/>
        <v>1840</v>
      </c>
      <c r="Z417">
        <f t="shared" si="285"/>
        <v>46.900514560978117</v>
      </c>
      <c r="AK417">
        <f t="shared" si="282"/>
        <v>233.63600601972809</v>
      </c>
      <c r="AM417">
        <f t="shared" si="283"/>
        <v>233.63600601972809</v>
      </c>
    </row>
    <row r="418" spans="11:39">
      <c r="K418">
        <v>2945</v>
      </c>
      <c r="L418" s="36">
        <f>128.059488*(1628/1602)</f>
        <v>130.13785671910111</v>
      </c>
      <c r="V418">
        <f>K198</f>
        <v>1845</v>
      </c>
      <c r="W418" s="26">
        <f t="shared" si="286"/>
        <v>46.553887846913121</v>
      </c>
      <c r="Y418">
        <f t="shared" si="284"/>
        <v>1845</v>
      </c>
      <c r="Z418">
        <f t="shared" si="285"/>
        <v>46.553887846913121</v>
      </c>
      <c r="AK418">
        <f t="shared" si="282"/>
        <v>231.9091229311195</v>
      </c>
      <c r="AM418">
        <f t="shared" si="283"/>
        <v>231.9091229311195</v>
      </c>
    </row>
    <row r="419" spans="11:39">
      <c r="K419">
        <v>2950</v>
      </c>
      <c r="L419" s="36">
        <f>127.278336*(1628/1602)</f>
        <v>129.34402684644192</v>
      </c>
      <c r="V419">
        <f>K199</f>
        <v>1850</v>
      </c>
      <c r="W419" s="26">
        <f t="shared" si="286"/>
        <v>46.209761325534679</v>
      </c>
      <c r="Y419">
        <f t="shared" si="284"/>
        <v>1850</v>
      </c>
      <c r="Z419">
        <f t="shared" si="285"/>
        <v>46.209761325534679</v>
      </c>
      <c r="AK419">
        <f t="shared" si="282"/>
        <v>230.19499082521236</v>
      </c>
      <c r="AM419">
        <f t="shared" si="283"/>
        <v>230.19499082521236</v>
      </c>
    </row>
    <row r="420" spans="11:39">
      <c r="K420">
        <v>2955</v>
      </c>
      <c r="L420" s="36">
        <f>126.500892*(1628/1602)</f>
        <v>128.55396515355807</v>
      </c>
      <c r="V420">
        <f>K200</f>
        <v>1855</v>
      </c>
      <c r="W420" s="26">
        <f t="shared" si="286"/>
        <v>45.868235004550257</v>
      </c>
      <c r="Y420">
        <f t="shared" si="284"/>
        <v>1855</v>
      </c>
      <c r="Z420">
        <f t="shared" si="285"/>
        <v>45.868235004550257</v>
      </c>
      <c r="AK420">
        <f t="shared" si="282"/>
        <v>228.49360970200664</v>
      </c>
      <c r="AM420">
        <f t="shared" si="283"/>
        <v>228.49360970200664</v>
      </c>
    </row>
    <row r="421" spans="11:39">
      <c r="K421">
        <v>2960</v>
      </c>
      <c r="L421" s="36">
        <f>125.729628*(1628/1602)</f>
        <v>127.77018376029962</v>
      </c>
      <c r="V421">
        <f>K201</f>
        <v>1860</v>
      </c>
      <c r="W421" s="26">
        <f t="shared" si="286"/>
        <v>45.529208876252397</v>
      </c>
      <c r="Y421">
        <f t="shared" si="284"/>
        <v>1860</v>
      </c>
      <c r="Z421">
        <f t="shared" si="285"/>
        <v>45.529208876252397</v>
      </c>
      <c r="AK421">
        <f t="shared" si="282"/>
        <v>226.80472954223376</v>
      </c>
      <c r="AM421">
        <f t="shared" si="283"/>
        <v>226.80472954223376</v>
      </c>
    </row>
    <row r="422" spans="11:39">
      <c r="K422">
        <v>2965</v>
      </c>
      <c r="L422" s="36">
        <f>124.964544*(1628/1602)</f>
        <v>126.99268266666668</v>
      </c>
      <c r="V422">
        <f>K202</f>
        <v>1865</v>
      </c>
      <c r="W422" s="26">
        <f t="shared" si="286"/>
        <v>45.192682940641113</v>
      </c>
      <c r="Y422">
        <f t="shared" si="284"/>
        <v>1865</v>
      </c>
      <c r="Z422">
        <f t="shared" si="285"/>
        <v>45.192682940641113</v>
      </c>
      <c r="AK422">
        <f t="shared" si="282"/>
        <v>225.12835034589372</v>
      </c>
      <c r="AM422">
        <f t="shared" si="283"/>
        <v>225.12835034589372</v>
      </c>
    </row>
    <row r="423" spans="11:39">
      <c r="K423">
        <v>2970</v>
      </c>
      <c r="L423" s="36">
        <f>124.203168*(1628/1602)</f>
        <v>126.21894975280898</v>
      </c>
      <c r="V423">
        <f>K203</f>
        <v>1870</v>
      </c>
      <c r="W423" s="26">
        <f t="shared" si="286"/>
        <v>44.858657197716383</v>
      </c>
      <c r="Y423">
        <f t="shared" si="284"/>
        <v>1870</v>
      </c>
      <c r="Z423">
        <f t="shared" si="285"/>
        <v>44.858657197716383</v>
      </c>
      <c r="AK423">
        <f t="shared" si="282"/>
        <v>223.4644721129865</v>
      </c>
      <c r="AM423">
        <f t="shared" si="283"/>
        <v>223.4644721129865</v>
      </c>
    </row>
    <row r="424" spans="11:39">
      <c r="K424">
        <v>2975</v>
      </c>
      <c r="L424" s="36">
        <f>123.4469832*(1628/1602)</f>
        <v>125.4504922906367</v>
      </c>
      <c r="V424">
        <f>K204</f>
        <v>1875</v>
      </c>
      <c r="W424" s="26">
        <f t="shared" si="286"/>
        <v>44.527131647478214</v>
      </c>
      <c r="Y424">
        <f t="shared" si="284"/>
        <v>1875</v>
      </c>
      <c r="Z424">
        <f t="shared" si="285"/>
        <v>44.527131647478214</v>
      </c>
      <c r="AK424">
        <f t="shared" si="282"/>
        <v>221.81284482424346</v>
      </c>
      <c r="AM424">
        <f t="shared" si="283"/>
        <v>221.81284482424346</v>
      </c>
    </row>
    <row r="425" spans="11:39">
      <c r="K425">
        <v>2980</v>
      </c>
      <c r="L425" s="36">
        <f>122.6967312*(1628/1602)</f>
        <v>124.68806391610488</v>
      </c>
      <c r="V425">
        <f>K205</f>
        <v>1880</v>
      </c>
      <c r="W425" s="26">
        <f t="shared" si="286"/>
        <v>44.198006282219161</v>
      </c>
      <c r="Y425">
        <f t="shared" si="284"/>
        <v>1880</v>
      </c>
      <c r="Z425">
        <f t="shared" si="285"/>
        <v>44.198006282219161</v>
      </c>
      <c r="AK425">
        <f t="shared" si="282"/>
        <v>220.17346847966451</v>
      </c>
      <c r="AM425">
        <f t="shared" si="283"/>
        <v>220.17346847966451</v>
      </c>
    </row>
    <row r="426" spans="11:39">
      <c r="K426">
        <v>2985</v>
      </c>
      <c r="L426" s="36">
        <f>121.951176*(1628/1602)</f>
        <v>123.93040856928839</v>
      </c>
      <c r="V426">
        <f>K206</f>
        <v>1885</v>
      </c>
      <c r="W426" s="26">
        <f t="shared" si="286"/>
        <v>43.871381109646649</v>
      </c>
      <c r="Y426">
        <f t="shared" si="284"/>
        <v>1885</v>
      </c>
      <c r="Z426">
        <f t="shared" si="285"/>
        <v>43.871381109646649</v>
      </c>
      <c r="AK426">
        <f t="shared" si="282"/>
        <v>218.5465930985184</v>
      </c>
      <c r="AM426">
        <f t="shared" si="283"/>
        <v>218.5465930985184</v>
      </c>
    </row>
    <row r="427" spans="11:39">
      <c r="K427">
        <v>2990</v>
      </c>
      <c r="L427" s="36">
        <f>121.210812*(1628/1602)</f>
        <v>123.1780286741573</v>
      </c>
      <c r="V427">
        <f>K207</f>
        <v>1890</v>
      </c>
      <c r="W427" s="26">
        <f t="shared" si="286"/>
        <v>43.547256129760711</v>
      </c>
      <c r="Y427">
        <f t="shared" si="284"/>
        <v>1890</v>
      </c>
      <c r="Z427">
        <f t="shared" si="285"/>
        <v>43.547256129760711</v>
      </c>
      <c r="AK427">
        <f t="shared" si="282"/>
        <v>216.93171864226775</v>
      </c>
      <c r="AM427">
        <f t="shared" si="283"/>
        <v>216.93171864226775</v>
      </c>
    </row>
    <row r="428" spans="11:39">
      <c r="K428">
        <v>2995</v>
      </c>
      <c r="L428" s="36">
        <f>120.4757628*(1628/1602)</f>
        <v>122.43104983670412</v>
      </c>
      <c r="V428">
        <f>K208</f>
        <v>1895</v>
      </c>
      <c r="W428" s="26">
        <f t="shared" si="286"/>
        <v>43.225431327146403</v>
      </c>
      <c r="Y428">
        <f t="shared" si="284"/>
        <v>1895</v>
      </c>
      <c r="Z428">
        <f t="shared" si="285"/>
        <v>43.225431327146403</v>
      </c>
      <c r="AK428">
        <f t="shared" si="282"/>
        <v>215.32884511091268</v>
      </c>
      <c r="AM428">
        <f t="shared" si="283"/>
        <v>215.32884511091268</v>
      </c>
    </row>
    <row r="429" spans="11:39">
      <c r="K429">
        <v>3000</v>
      </c>
      <c r="L429" s="36">
        <f>119.7452868*(1628/1602)</f>
        <v>121.68871842097377</v>
      </c>
      <c r="V429">
        <f>K209</f>
        <v>1900</v>
      </c>
      <c r="W429" s="26">
        <f t="shared" si="286"/>
        <v>42.906106717218663</v>
      </c>
      <c r="Y429">
        <f t="shared" si="284"/>
        <v>1900</v>
      </c>
      <c r="Z429">
        <f t="shared" si="285"/>
        <v>42.906106717218663</v>
      </c>
      <c r="AK429">
        <f t="shared" si="282"/>
        <v>213.73797250445304</v>
      </c>
      <c r="AM429">
        <f t="shared" si="283"/>
        <v>213.73797250445304</v>
      </c>
    </row>
    <row r="430" spans="11:39">
      <c r="V430">
        <f>K210</f>
        <v>1905</v>
      </c>
      <c r="W430" s="26">
        <f t="shared" si="286"/>
        <v>42.589082284562551</v>
      </c>
      <c r="Y430">
        <f t="shared" si="284"/>
        <v>1905</v>
      </c>
      <c r="Z430">
        <f t="shared" si="285"/>
        <v>42.589082284562551</v>
      </c>
      <c r="AK430">
        <f t="shared" si="282"/>
        <v>212.15910082288895</v>
      </c>
      <c r="AM430">
        <f t="shared" si="283"/>
        <v>212.15910082288895</v>
      </c>
    </row>
    <row r="431" spans="11:39">
      <c r="V431">
        <f>K211</f>
        <v>1910</v>
      </c>
      <c r="W431" s="26">
        <f t="shared" si="286"/>
        <v>42.274558044593014</v>
      </c>
      <c r="Y431">
        <f t="shared" si="284"/>
        <v>1910</v>
      </c>
      <c r="Z431">
        <f t="shared" si="285"/>
        <v>42.274558044593014</v>
      </c>
      <c r="AK431">
        <f t="shared" si="282"/>
        <v>210.59223006622031</v>
      </c>
      <c r="AM431">
        <f t="shared" si="283"/>
        <v>210.59223006622031</v>
      </c>
    </row>
    <row r="432" spans="11:39">
      <c r="V432">
        <f>K212</f>
        <v>1915</v>
      </c>
      <c r="W432" s="26">
        <f t="shared" si="286"/>
        <v>41.962333981895107</v>
      </c>
      <c r="Y432">
        <f t="shared" si="284"/>
        <v>1915</v>
      </c>
      <c r="Z432">
        <f t="shared" si="285"/>
        <v>41.962333981895107</v>
      </c>
      <c r="AK432">
        <f t="shared" si="282"/>
        <v>209.0368601959099</v>
      </c>
      <c r="AM432">
        <f t="shared" si="283"/>
        <v>209.0368601959099</v>
      </c>
    </row>
    <row r="433" spans="22:39">
      <c r="V433">
        <f>K213</f>
        <v>1920</v>
      </c>
      <c r="W433" s="26">
        <f t="shared" si="286"/>
        <v>41.652410096468849</v>
      </c>
      <c r="Y433">
        <f t="shared" si="284"/>
        <v>1920</v>
      </c>
      <c r="Z433">
        <f t="shared" si="285"/>
        <v>41.652410096468849</v>
      </c>
      <c r="AK433">
        <f t="shared" si="282"/>
        <v>207.49324123122634</v>
      </c>
      <c r="AM433">
        <f t="shared" si="283"/>
        <v>207.49324123122634</v>
      </c>
    </row>
    <row r="434" spans="22:39">
      <c r="V434">
        <f>K214</f>
        <v>1925</v>
      </c>
      <c r="W434" s="26">
        <f t="shared" si="286"/>
        <v>41.344886396021685</v>
      </c>
      <c r="Y434">
        <f t="shared" si="284"/>
        <v>1925</v>
      </c>
      <c r="Z434">
        <f t="shared" si="285"/>
        <v>41.344886396021685</v>
      </c>
      <c r="AK434">
        <f t="shared" si="282"/>
        <v>205.96112315290094</v>
      </c>
      <c r="AM434">
        <f t="shared" si="283"/>
        <v>205.96112315290094</v>
      </c>
    </row>
    <row r="435" spans="22:39">
      <c r="V435">
        <f>K215</f>
        <v>1930</v>
      </c>
      <c r="W435" s="26">
        <f t="shared" si="286"/>
        <v>41.039562865138691</v>
      </c>
      <c r="Y435">
        <f t="shared" si="284"/>
        <v>1930</v>
      </c>
      <c r="Z435">
        <f t="shared" si="285"/>
        <v>41.039562865138691</v>
      </c>
      <c r="AK435">
        <f t="shared" si="282"/>
        <v>204.44050596093371</v>
      </c>
      <c r="AM435">
        <f t="shared" si="283"/>
        <v>204.44050596093371</v>
      </c>
    </row>
    <row r="436" spans="22:39">
      <c r="V436">
        <f>K216</f>
        <v>1935</v>
      </c>
      <c r="W436" s="26">
        <f t="shared" si="286"/>
        <v>40.736639519234792</v>
      </c>
      <c r="Y436">
        <f t="shared" si="284"/>
        <v>1935</v>
      </c>
      <c r="Z436">
        <f t="shared" si="285"/>
        <v>40.736639519234792</v>
      </c>
      <c r="AK436">
        <f t="shared" si="282"/>
        <v>202.93138965532467</v>
      </c>
      <c r="AM436">
        <f t="shared" si="283"/>
        <v>202.93138965532467</v>
      </c>
    </row>
    <row r="437" spans="22:39">
      <c r="V437">
        <f>K217</f>
        <v>1940</v>
      </c>
      <c r="W437" s="26">
        <f t="shared" si="286"/>
        <v>40.435916342895077</v>
      </c>
      <c r="Y437">
        <f t="shared" si="284"/>
        <v>1940</v>
      </c>
      <c r="Z437">
        <f t="shared" si="285"/>
        <v>40.435916342895077</v>
      </c>
      <c r="AK437">
        <f t="shared" si="282"/>
        <v>201.43352421680518</v>
      </c>
      <c r="AM437">
        <f t="shared" si="283"/>
        <v>201.43352421680518</v>
      </c>
    </row>
    <row r="438" spans="22:39">
      <c r="V438">
        <f>K218</f>
        <v>1945</v>
      </c>
      <c r="W438" s="26">
        <f t="shared" si="286"/>
        <v>40.137493343826989</v>
      </c>
      <c r="Y438">
        <f t="shared" si="284"/>
        <v>1945</v>
      </c>
      <c r="Z438">
        <f t="shared" si="285"/>
        <v>40.137493343826989</v>
      </c>
      <c r="AK438">
        <f t="shared" si="282"/>
        <v>199.94715966464383</v>
      </c>
      <c r="AM438">
        <f t="shared" si="283"/>
        <v>199.94715966464383</v>
      </c>
    </row>
    <row r="439" spans="22:39">
      <c r="V439">
        <f>K219</f>
        <v>1950</v>
      </c>
      <c r="W439" s="26">
        <f t="shared" si="286"/>
        <v>39.841370522030545</v>
      </c>
      <c r="Y439">
        <f t="shared" si="284"/>
        <v>1950</v>
      </c>
      <c r="Z439">
        <f t="shared" si="285"/>
        <v>39.841370522030545</v>
      </c>
      <c r="AK439">
        <f t="shared" si="282"/>
        <v>198.4720459795721</v>
      </c>
      <c r="AM439">
        <f t="shared" si="283"/>
        <v>198.4720459795721</v>
      </c>
    </row>
    <row r="440" spans="22:39">
      <c r="V440">
        <f>K220</f>
        <v>1955</v>
      </c>
      <c r="W440" s="26">
        <f t="shared" si="286"/>
        <v>39.54744786979829</v>
      </c>
      <c r="Y440">
        <f t="shared" si="284"/>
        <v>1955</v>
      </c>
      <c r="Z440">
        <f t="shared" si="285"/>
        <v>39.54744786979829</v>
      </c>
      <c r="AK440">
        <f t="shared" si="282"/>
        <v>197.00818316158987</v>
      </c>
      <c r="AM440">
        <f t="shared" si="283"/>
        <v>197.00818316158987</v>
      </c>
    </row>
    <row r="441" spans="22:39">
      <c r="V441">
        <f>K221</f>
        <v>1960</v>
      </c>
      <c r="W441" s="26">
        <f t="shared" si="286"/>
        <v>39.255825394837665</v>
      </c>
      <c r="Y441">
        <f t="shared" si="284"/>
        <v>1960</v>
      </c>
      <c r="Z441">
        <f t="shared" si="285"/>
        <v>39.255825394837665</v>
      </c>
      <c r="AK441">
        <f t="shared" si="282"/>
        <v>195.55532119142845</v>
      </c>
      <c r="AM441">
        <f t="shared" si="283"/>
        <v>195.55532119142845</v>
      </c>
    </row>
    <row r="442" spans="22:39">
      <c r="V442">
        <f>K222</f>
        <v>1965</v>
      </c>
      <c r="W442" s="26">
        <f t="shared" si="286"/>
        <v>38.966303081733727</v>
      </c>
      <c r="Y442">
        <f t="shared" si="284"/>
        <v>1965</v>
      </c>
      <c r="Z442">
        <f t="shared" si="285"/>
        <v>38.966303081733727</v>
      </c>
      <c r="AK442">
        <f t="shared" si="282"/>
        <v>194.11321004981929</v>
      </c>
      <c r="AM442">
        <f t="shared" si="283"/>
        <v>194.11321004981929</v>
      </c>
    </row>
    <row r="443" spans="22:39">
      <c r="V443">
        <f>K223</f>
        <v>1970</v>
      </c>
      <c r="W443" s="26">
        <f t="shared" si="286"/>
        <v>38.678980938193995</v>
      </c>
      <c r="Y443">
        <f t="shared" si="284"/>
        <v>1970</v>
      </c>
      <c r="Z443">
        <f t="shared" si="285"/>
        <v>38.678980938193995</v>
      </c>
      <c r="AK443">
        <f t="shared" si="282"/>
        <v>192.68234977529971</v>
      </c>
      <c r="AM443">
        <f t="shared" si="283"/>
        <v>192.68234977529971</v>
      </c>
    </row>
    <row r="444" spans="22:39">
      <c r="V444">
        <f>K224</f>
        <v>1975</v>
      </c>
      <c r="W444" s="26">
        <f t="shared" si="286"/>
        <v>38.393958971925883</v>
      </c>
      <c r="Y444">
        <f t="shared" si="284"/>
        <v>1975</v>
      </c>
      <c r="Z444">
        <f t="shared" si="285"/>
        <v>38.393958971925883</v>
      </c>
      <c r="AK444">
        <f t="shared" si="282"/>
        <v>191.26224032933226</v>
      </c>
      <c r="AM444">
        <f t="shared" si="283"/>
        <v>191.26224032933226</v>
      </c>
    </row>
    <row r="445" spans="22:39">
      <c r="V445">
        <f>K225</f>
        <v>1980</v>
      </c>
      <c r="W445" s="26">
        <f t="shared" si="286"/>
        <v>38.110937159807023</v>
      </c>
      <c r="Y445">
        <f t="shared" si="284"/>
        <v>1980</v>
      </c>
      <c r="Z445">
        <f t="shared" si="285"/>
        <v>38.110937159807023</v>
      </c>
      <c r="AK445">
        <f t="shared" si="282"/>
        <v>189.85288171191709</v>
      </c>
      <c r="AM445">
        <f t="shared" si="283"/>
        <v>189.85288171191709</v>
      </c>
    </row>
    <row r="446" spans="22:39">
      <c r="V446">
        <f>K226</f>
        <v>1985</v>
      </c>
      <c r="W446" s="26">
        <f t="shared" si="286"/>
        <v>37.830215524959812</v>
      </c>
      <c r="Y446">
        <f t="shared" si="284"/>
        <v>1985</v>
      </c>
      <c r="Z446">
        <f t="shared" si="285"/>
        <v>37.830215524959812</v>
      </c>
      <c r="AK446">
        <f t="shared" si="282"/>
        <v>188.4542739230541</v>
      </c>
      <c r="AM446">
        <f t="shared" si="283"/>
        <v>188.4542739230541</v>
      </c>
    </row>
    <row r="447" spans="22:39">
      <c r="V447">
        <f>K227</f>
        <v>1990</v>
      </c>
      <c r="W447" s="26">
        <f t="shared" si="286"/>
        <v>37.551494044261837</v>
      </c>
      <c r="Y447">
        <f t="shared" si="284"/>
        <v>1990</v>
      </c>
      <c r="Z447">
        <f t="shared" si="285"/>
        <v>37.551494044261837</v>
      </c>
      <c r="AK447">
        <f t="shared" si="282"/>
        <v>187.06616694347471</v>
      </c>
      <c r="AM447">
        <f t="shared" si="283"/>
        <v>187.06616694347471</v>
      </c>
    </row>
    <row r="448" spans="22:39">
      <c r="V448">
        <f>K228</f>
        <v>1995</v>
      </c>
      <c r="W448" s="26">
        <f t="shared" si="286"/>
        <v>37.274972733128045</v>
      </c>
      <c r="Y448">
        <f t="shared" si="284"/>
        <v>1995</v>
      </c>
      <c r="Z448">
        <f t="shared" si="285"/>
        <v>37.274972733128045</v>
      </c>
      <c r="AK448">
        <f t="shared" si="282"/>
        <v>185.68881079244755</v>
      </c>
      <c r="AM448">
        <f t="shared" si="283"/>
        <v>185.68881079244755</v>
      </c>
    </row>
    <row r="449" spans="22:39">
      <c r="V449">
        <f>K229</f>
        <v>2000</v>
      </c>
      <c r="W449" s="26">
        <f t="shared" si="286"/>
        <v>37.000551583850964</v>
      </c>
      <c r="Y449">
        <f t="shared" si="284"/>
        <v>2000</v>
      </c>
      <c r="Z449">
        <f t="shared" si="285"/>
        <v>37.000551583850964</v>
      </c>
      <c r="AK449">
        <f t="shared" si="282"/>
        <v>184.32170543143519</v>
      </c>
      <c r="AM449">
        <f t="shared" si="283"/>
        <v>184.32170543143519</v>
      </c>
    </row>
    <row r="450" spans="22:39">
      <c r="V450">
        <f>K230</f>
        <v>2005</v>
      </c>
      <c r="W450" s="26">
        <f t="shared" si="286"/>
        <v>36.728130588723126</v>
      </c>
      <c r="Y450">
        <f t="shared" si="284"/>
        <v>2005</v>
      </c>
      <c r="Z450">
        <f t="shared" si="285"/>
        <v>36.728130588723126</v>
      </c>
      <c r="AK450">
        <f t="shared" si="282"/>
        <v>182.96635097604977</v>
      </c>
      <c r="AM450">
        <f t="shared" si="283"/>
        <v>182.96635097604977</v>
      </c>
    </row>
    <row r="451" spans="22:39">
      <c r="V451">
        <f>K231</f>
        <v>2010</v>
      </c>
      <c r="W451" s="26">
        <f t="shared" si="286"/>
        <v>36.458409801696781</v>
      </c>
      <c r="Y451">
        <f t="shared" si="284"/>
        <v>2010</v>
      </c>
      <c r="Z451">
        <f t="shared" si="285"/>
        <v>36.458409801696781</v>
      </c>
      <c r="AK451">
        <f t="shared" si="282"/>
        <v>181.62274742629114</v>
      </c>
      <c r="AM451">
        <f t="shared" si="283"/>
        <v>181.62274742629114</v>
      </c>
    </row>
    <row r="452" spans="22:39">
      <c r="V452">
        <f>K232</f>
        <v>2015</v>
      </c>
      <c r="W452" s="26">
        <f t="shared" si="286"/>
        <v>36.190689168819688</v>
      </c>
      <c r="Y452">
        <f t="shared" si="284"/>
        <v>2015</v>
      </c>
      <c r="Z452">
        <f t="shared" si="285"/>
        <v>36.190689168819688</v>
      </c>
      <c r="AK452">
        <f t="shared" si="282"/>
        <v>180.28939466654748</v>
      </c>
      <c r="AM452">
        <f t="shared" si="283"/>
        <v>180.28939466654748</v>
      </c>
    </row>
    <row r="453" spans="22:39">
      <c r="V453">
        <f>K233</f>
        <v>2020</v>
      </c>
      <c r="W453" s="26">
        <f t="shared" si="286"/>
        <v>35.925068697799304</v>
      </c>
      <c r="Y453">
        <f t="shared" si="284"/>
        <v>2020</v>
      </c>
      <c r="Z453">
        <f t="shared" si="285"/>
        <v>35.925068697799304</v>
      </c>
      <c r="AK453">
        <f t="shared" si="282"/>
        <v>178.96604267755004</v>
      </c>
      <c r="AM453">
        <f t="shared" si="283"/>
        <v>178.96604267755004</v>
      </c>
    </row>
    <row r="454" spans="22:39">
      <c r="V454">
        <f>K234</f>
        <v>2025</v>
      </c>
      <c r="W454" s="26">
        <f t="shared" si="286"/>
        <v>35.661348373220711</v>
      </c>
      <c r="Y454">
        <f t="shared" si="284"/>
        <v>2025</v>
      </c>
      <c r="Z454">
        <f t="shared" si="285"/>
        <v>35.661348373220711</v>
      </c>
      <c r="AK454">
        <f t="shared" si="282"/>
        <v>177.65269145929886</v>
      </c>
      <c r="AM454">
        <f t="shared" si="283"/>
        <v>177.65269145929886</v>
      </c>
    </row>
    <row r="455" spans="22:39">
      <c r="V455">
        <f>K235</f>
        <v>2030</v>
      </c>
      <c r="W455" s="26">
        <f t="shared" si="286"/>
        <v>35.399728210498829</v>
      </c>
      <c r="Y455">
        <f t="shared" si="284"/>
        <v>2030</v>
      </c>
      <c r="Z455">
        <f t="shared" si="285"/>
        <v>35.399728210498829</v>
      </c>
      <c r="AK455">
        <f t="shared" si="282"/>
        <v>176.34959103106254</v>
      </c>
      <c r="AM455">
        <f t="shared" si="283"/>
        <v>176.34959103106254</v>
      </c>
    </row>
    <row r="456" spans="22:39">
      <c r="V456">
        <f>K236</f>
        <v>2035</v>
      </c>
      <c r="W456" s="26">
        <f t="shared" si="286"/>
        <v>35.140108201926189</v>
      </c>
      <c r="Y456">
        <f t="shared" si="284"/>
        <v>2035</v>
      </c>
      <c r="Z456">
        <f t="shared" si="285"/>
        <v>35.140108201926189</v>
      </c>
      <c r="AK456">
        <f t="shared" si="282"/>
        <v>175.05649137357253</v>
      </c>
      <c r="AM456">
        <f t="shared" si="283"/>
        <v>175.05649137357253</v>
      </c>
    </row>
    <row r="457" spans="22:39">
      <c r="V457">
        <f>K237</f>
        <v>2040</v>
      </c>
      <c r="W457" s="26">
        <f t="shared" si="286"/>
        <v>34.882488347502814</v>
      </c>
      <c r="Y457">
        <f t="shared" si="284"/>
        <v>2040</v>
      </c>
      <c r="Z457">
        <f t="shared" si="285"/>
        <v>34.882488347502814</v>
      </c>
      <c r="AK457">
        <f t="shared" si="282"/>
        <v>173.77314246756009</v>
      </c>
      <c r="AM457">
        <f t="shared" si="283"/>
        <v>173.77314246756009</v>
      </c>
    </row>
    <row r="458" spans="22:39">
      <c r="V458">
        <f>K238</f>
        <v>2045</v>
      </c>
      <c r="W458" s="26">
        <f t="shared" si="286"/>
        <v>34.626768639521217</v>
      </c>
      <c r="Y458">
        <f t="shared" si="284"/>
        <v>2045</v>
      </c>
      <c r="Z458">
        <f t="shared" si="285"/>
        <v>34.626768639521217</v>
      </c>
      <c r="AK458">
        <f t="shared" si="282"/>
        <v>172.49954431302518</v>
      </c>
      <c r="AM458">
        <f t="shared" si="283"/>
        <v>172.49954431302518</v>
      </c>
    </row>
    <row r="459" spans="22:39">
      <c r="V459">
        <f>K239</f>
        <v>2050</v>
      </c>
      <c r="W459" s="26">
        <f t="shared" si="286"/>
        <v>34.373049085688869</v>
      </c>
      <c r="Y459">
        <f t="shared" si="284"/>
        <v>2050</v>
      </c>
      <c r="Z459">
        <f t="shared" si="285"/>
        <v>34.373049085688869</v>
      </c>
      <c r="AK459">
        <f t="shared" si="282"/>
        <v>171.23569690996794</v>
      </c>
      <c r="AM459">
        <f t="shared" si="283"/>
        <v>171.23569690996794</v>
      </c>
    </row>
    <row r="460" spans="22:39">
      <c r="V460">
        <f>K240</f>
        <v>2055</v>
      </c>
      <c r="W460" s="26">
        <f t="shared" si="286"/>
        <v>34.121229678298313</v>
      </c>
      <c r="Y460">
        <f t="shared" si="284"/>
        <v>2055</v>
      </c>
      <c r="Z460">
        <f t="shared" si="285"/>
        <v>34.121229678298313</v>
      </c>
      <c r="AK460">
        <f t="shared" si="282"/>
        <v>169.98135023911965</v>
      </c>
      <c r="AM460">
        <f t="shared" si="283"/>
        <v>169.98135023911965</v>
      </c>
    </row>
    <row r="461" spans="22:39">
      <c r="V461">
        <f>K241</f>
        <v>2060</v>
      </c>
      <c r="W461" s="26">
        <f t="shared" si="286"/>
        <v>33.871310417349541</v>
      </c>
      <c r="Y461">
        <f t="shared" si="284"/>
        <v>2060</v>
      </c>
      <c r="Z461">
        <f t="shared" si="285"/>
        <v>33.871310417349541</v>
      </c>
      <c r="AK461">
        <f t="shared" ref="AK461:AK524" si="287">0.5*(V462-V461)*(W461+W462)</f>
        <v>168.73675431974888</v>
      </c>
      <c r="AM461">
        <f t="shared" ref="AM461:AM524" si="288">0.5*(V462-V461)*(W461+W462)</f>
        <v>168.73675431974888</v>
      </c>
    </row>
    <row r="462" spans="22:39">
      <c r="V462">
        <f>K242</f>
        <v>2065</v>
      </c>
      <c r="W462" s="26">
        <f t="shared" si="286"/>
        <v>33.623391310550019</v>
      </c>
      <c r="Y462">
        <f t="shared" ref="Y462:Y525" si="289">V462</f>
        <v>2065</v>
      </c>
      <c r="Z462">
        <f t="shared" ref="Z462:Z525" si="290">W462</f>
        <v>33.623391310550019</v>
      </c>
      <c r="AK462">
        <f t="shared" si="287"/>
        <v>167.50165913258712</v>
      </c>
      <c r="AM462">
        <f t="shared" si="288"/>
        <v>167.50165913258712</v>
      </c>
    </row>
    <row r="463" spans="22:39">
      <c r="V463">
        <f>K243</f>
        <v>2070</v>
      </c>
      <c r="W463" s="26">
        <f t="shared" ref="W463:W526" si="291">IF(L242=0,0,L242/$T$51)</f>
        <v>33.377272342484822</v>
      </c>
      <c r="Y463">
        <f t="shared" si="289"/>
        <v>2070</v>
      </c>
      <c r="Z463">
        <f t="shared" si="290"/>
        <v>33.377272342484822</v>
      </c>
      <c r="AK463">
        <f t="shared" si="287"/>
        <v>166.27606467763425</v>
      </c>
      <c r="AM463">
        <f t="shared" si="288"/>
        <v>166.27606467763425</v>
      </c>
    </row>
    <row r="464" spans="22:39">
      <c r="V464">
        <f>K244</f>
        <v>2075</v>
      </c>
      <c r="W464" s="26">
        <f t="shared" si="291"/>
        <v>33.133153528568876</v>
      </c>
      <c r="Y464">
        <f t="shared" si="289"/>
        <v>2075</v>
      </c>
      <c r="Z464">
        <f t="shared" si="290"/>
        <v>33.133153528568876</v>
      </c>
      <c r="AK464">
        <f t="shared" si="287"/>
        <v>165.05997095489033</v>
      </c>
      <c r="AM464">
        <f t="shared" si="288"/>
        <v>165.05997095489033</v>
      </c>
    </row>
    <row r="465" spans="22:39">
      <c r="V465">
        <f>K245</f>
        <v>2080</v>
      </c>
      <c r="W465" s="26">
        <f t="shared" si="291"/>
        <v>32.890834853387254</v>
      </c>
      <c r="Y465">
        <f t="shared" si="289"/>
        <v>2080</v>
      </c>
      <c r="Z465">
        <f t="shared" si="290"/>
        <v>32.890834853387254</v>
      </c>
      <c r="AK465">
        <f t="shared" si="287"/>
        <v>163.85287792581801</v>
      </c>
      <c r="AM465">
        <f t="shared" si="288"/>
        <v>163.85287792581801</v>
      </c>
    </row>
    <row r="466" spans="22:39">
      <c r="V466">
        <f>K246</f>
        <v>2085</v>
      </c>
      <c r="W466" s="26">
        <f t="shared" si="291"/>
        <v>32.65031631693995</v>
      </c>
      <c r="Y466">
        <f t="shared" si="289"/>
        <v>2085</v>
      </c>
      <c r="Z466">
        <f t="shared" si="290"/>
        <v>32.65031631693995</v>
      </c>
      <c r="AK466">
        <f t="shared" si="287"/>
        <v>162.65503560968597</v>
      </c>
      <c r="AM466">
        <f t="shared" si="288"/>
        <v>162.65503560968597</v>
      </c>
    </row>
    <row r="467" spans="22:39">
      <c r="V467">
        <f>K247</f>
        <v>2090</v>
      </c>
      <c r="W467" s="26">
        <f t="shared" si="291"/>
        <v>32.411697926934444</v>
      </c>
      <c r="Y467">
        <f t="shared" si="289"/>
        <v>2090</v>
      </c>
      <c r="Z467">
        <f t="shared" si="290"/>
        <v>32.411697926934444</v>
      </c>
      <c r="AK467">
        <f t="shared" si="287"/>
        <v>161.46669402576293</v>
      </c>
      <c r="AM467">
        <f t="shared" si="288"/>
        <v>161.46669402576293</v>
      </c>
    </row>
    <row r="468" spans="22:39">
      <c r="V468">
        <f>K248</f>
        <v>2095</v>
      </c>
      <c r="W468" s="26">
        <f t="shared" si="291"/>
        <v>32.174979683370722</v>
      </c>
      <c r="Y468">
        <f t="shared" si="289"/>
        <v>2095</v>
      </c>
      <c r="Z468">
        <f t="shared" si="290"/>
        <v>32.174979683370722</v>
      </c>
      <c r="AK468">
        <f t="shared" si="287"/>
        <v>160.28735313551147</v>
      </c>
      <c r="AM468">
        <f t="shared" si="288"/>
        <v>160.28735313551147</v>
      </c>
    </row>
    <row r="469" spans="22:39">
      <c r="V469">
        <f>K249</f>
        <v>2100</v>
      </c>
      <c r="W469" s="26">
        <f t="shared" si="291"/>
        <v>31.939961570833862</v>
      </c>
      <c r="Y469">
        <f t="shared" si="289"/>
        <v>2100</v>
      </c>
      <c r="Z469">
        <f t="shared" si="290"/>
        <v>31.939961570833862</v>
      </c>
      <c r="AK469">
        <f t="shared" si="287"/>
        <v>159.11676291966296</v>
      </c>
      <c r="AM469">
        <f t="shared" si="288"/>
        <v>159.11676291966296</v>
      </c>
    </row>
    <row r="470" spans="22:39">
      <c r="V470">
        <f>K250</f>
        <v>2105</v>
      </c>
      <c r="W470" s="26">
        <f t="shared" si="291"/>
        <v>31.706743597031323</v>
      </c>
      <c r="Y470">
        <f t="shared" si="289"/>
        <v>2105</v>
      </c>
      <c r="Z470">
        <f t="shared" si="290"/>
        <v>31.706743597031323</v>
      </c>
      <c r="AK470">
        <f t="shared" si="287"/>
        <v>157.95542341675477</v>
      </c>
      <c r="AM470">
        <f t="shared" si="288"/>
        <v>157.95542341675477</v>
      </c>
    </row>
    <row r="471" spans="22:39">
      <c r="V471">
        <f>K251</f>
        <v>2110</v>
      </c>
      <c r="W471" s="26">
        <f t="shared" si="291"/>
        <v>31.475425769670583</v>
      </c>
      <c r="Y471">
        <f t="shared" si="289"/>
        <v>2110</v>
      </c>
      <c r="Z471">
        <f t="shared" si="290"/>
        <v>31.475425769670583</v>
      </c>
      <c r="AK471">
        <f t="shared" si="287"/>
        <v>156.8030846075182</v>
      </c>
      <c r="AM471">
        <f t="shared" si="288"/>
        <v>156.8030846075182</v>
      </c>
    </row>
    <row r="472" spans="22:39">
      <c r="V472">
        <f>K252</f>
        <v>2115</v>
      </c>
      <c r="W472" s="26">
        <f t="shared" si="291"/>
        <v>31.245808073336701</v>
      </c>
      <c r="Y472">
        <f t="shared" si="289"/>
        <v>2115</v>
      </c>
      <c r="Z472">
        <f t="shared" si="290"/>
        <v>31.245808073336701</v>
      </c>
      <c r="AK472">
        <f t="shared" si="287"/>
        <v>155.65924645341593</v>
      </c>
      <c r="AM472">
        <f t="shared" si="288"/>
        <v>155.65924645341593</v>
      </c>
    </row>
    <row r="473" spans="22:39">
      <c r="V473">
        <f>K253</f>
        <v>2120</v>
      </c>
      <c r="W473" s="26">
        <f t="shared" si="291"/>
        <v>31.017890508029677</v>
      </c>
      <c r="Y473">
        <f t="shared" si="289"/>
        <v>2120</v>
      </c>
      <c r="Z473">
        <f t="shared" si="290"/>
        <v>31.017890508029677</v>
      </c>
      <c r="AK473">
        <f t="shared" si="287"/>
        <v>154.52440899298529</v>
      </c>
      <c r="AM473">
        <f t="shared" si="288"/>
        <v>154.52440899298529</v>
      </c>
    </row>
    <row r="474" spans="22:39">
      <c r="V474">
        <f>K254</f>
        <v>2125</v>
      </c>
      <c r="W474" s="26">
        <f t="shared" si="291"/>
        <v>30.791873089164437</v>
      </c>
      <c r="Y474">
        <f t="shared" si="289"/>
        <v>2125</v>
      </c>
      <c r="Z474">
        <f t="shared" si="290"/>
        <v>30.791873089164437</v>
      </c>
      <c r="AK474">
        <f t="shared" si="287"/>
        <v>153.3983222069576</v>
      </c>
      <c r="AM474">
        <f t="shared" si="288"/>
        <v>153.3983222069576</v>
      </c>
    </row>
    <row r="475" spans="22:39">
      <c r="V475">
        <f>K255</f>
        <v>2130</v>
      </c>
      <c r="W475" s="26">
        <f t="shared" si="291"/>
        <v>30.567455793618603</v>
      </c>
      <c r="Y475">
        <f t="shared" si="289"/>
        <v>2130</v>
      </c>
      <c r="Z475">
        <f t="shared" si="290"/>
        <v>30.567455793618603</v>
      </c>
      <c r="AK475">
        <f t="shared" si="287"/>
        <v>152.28073607606424</v>
      </c>
      <c r="AM475">
        <f t="shared" si="288"/>
        <v>152.28073607606424</v>
      </c>
    </row>
    <row r="476" spans="22:39">
      <c r="V476">
        <f>K256</f>
        <v>2135</v>
      </c>
      <c r="W476" s="26">
        <f t="shared" si="291"/>
        <v>30.344838636807093</v>
      </c>
      <c r="Y476">
        <f t="shared" si="289"/>
        <v>2135</v>
      </c>
      <c r="Z476">
        <f t="shared" si="290"/>
        <v>30.344838636807093</v>
      </c>
      <c r="AK476">
        <f t="shared" si="287"/>
        <v>151.17165060030518</v>
      </c>
      <c r="AM476">
        <f t="shared" si="288"/>
        <v>151.17165060030518</v>
      </c>
    </row>
    <row r="477" spans="22:39">
      <c r="V477">
        <f>K257</f>
        <v>2140</v>
      </c>
      <c r="W477" s="26">
        <f t="shared" si="291"/>
        <v>30.123821603314983</v>
      </c>
      <c r="Y477">
        <f t="shared" si="289"/>
        <v>2140</v>
      </c>
      <c r="Z477">
        <f t="shared" si="290"/>
        <v>30.123821603314983</v>
      </c>
      <c r="AK477">
        <f t="shared" si="287"/>
        <v>150.07106577968045</v>
      </c>
      <c r="AM477">
        <f t="shared" si="288"/>
        <v>150.07106577968045</v>
      </c>
    </row>
    <row r="478" spans="22:39">
      <c r="V478">
        <f>K258</f>
        <v>2145</v>
      </c>
      <c r="W478" s="26">
        <f t="shared" si="291"/>
        <v>29.904604708557198</v>
      </c>
      <c r="Y478">
        <f t="shared" si="289"/>
        <v>2145</v>
      </c>
      <c r="Z478">
        <f t="shared" si="290"/>
        <v>29.904604708557198</v>
      </c>
      <c r="AK478">
        <f t="shared" si="287"/>
        <v>148.97898161419002</v>
      </c>
      <c r="AM478">
        <f t="shared" si="288"/>
        <v>148.97898161419002</v>
      </c>
    </row>
    <row r="479" spans="22:39">
      <c r="V479">
        <f>K259</f>
        <v>2150</v>
      </c>
      <c r="W479" s="26">
        <f t="shared" si="291"/>
        <v>29.686987937118811</v>
      </c>
      <c r="Y479">
        <f t="shared" si="289"/>
        <v>2150</v>
      </c>
      <c r="Z479">
        <f t="shared" si="290"/>
        <v>29.686987937118811</v>
      </c>
      <c r="AK479">
        <f t="shared" si="287"/>
        <v>147.89514808456522</v>
      </c>
      <c r="AM479">
        <f t="shared" si="288"/>
        <v>147.89514808456522</v>
      </c>
    </row>
    <row r="480" spans="22:39">
      <c r="V480">
        <f>K260</f>
        <v>2155</v>
      </c>
      <c r="W480" s="26">
        <f t="shared" si="291"/>
        <v>29.471071296707287</v>
      </c>
      <c r="Y480">
        <f t="shared" si="289"/>
        <v>2155</v>
      </c>
      <c r="Z480">
        <f t="shared" si="290"/>
        <v>29.471071296707287</v>
      </c>
      <c r="AK480">
        <f t="shared" si="287"/>
        <v>146.81981521007481</v>
      </c>
      <c r="AM480">
        <f t="shared" si="288"/>
        <v>146.81981521007481</v>
      </c>
    </row>
    <row r="481" spans="22:39">
      <c r="V481">
        <f>K261</f>
        <v>2160</v>
      </c>
      <c r="W481" s="26">
        <f t="shared" si="291"/>
        <v>29.256854787322631</v>
      </c>
      <c r="Y481">
        <f t="shared" si="289"/>
        <v>2160</v>
      </c>
      <c r="Z481">
        <f t="shared" si="290"/>
        <v>29.256854787322631</v>
      </c>
      <c r="AK481">
        <f t="shared" si="287"/>
        <v>145.75273297145</v>
      </c>
      <c r="AM481">
        <f t="shared" si="288"/>
        <v>145.75273297145</v>
      </c>
    </row>
    <row r="482" spans="22:39">
      <c r="V482">
        <f>K262</f>
        <v>2165</v>
      </c>
      <c r="W482" s="26">
        <f t="shared" si="291"/>
        <v>29.044238401257363</v>
      </c>
      <c r="Y482">
        <f t="shared" si="289"/>
        <v>2165</v>
      </c>
      <c r="Z482">
        <f t="shared" si="290"/>
        <v>29.044238401257363</v>
      </c>
      <c r="AK482">
        <f t="shared" si="287"/>
        <v>144.69390136869083</v>
      </c>
      <c r="AM482">
        <f t="shared" si="288"/>
        <v>144.69390136869083</v>
      </c>
    </row>
    <row r="483" spans="22:39">
      <c r="V483">
        <f>K263</f>
        <v>2170</v>
      </c>
      <c r="W483" s="26">
        <f t="shared" si="291"/>
        <v>28.833322146218968</v>
      </c>
      <c r="Y483">
        <f t="shared" si="289"/>
        <v>2170</v>
      </c>
      <c r="Z483">
        <f t="shared" si="290"/>
        <v>28.833322146218968</v>
      </c>
      <c r="AK483">
        <f t="shared" si="287"/>
        <v>143.64332040179735</v>
      </c>
      <c r="AM483">
        <f t="shared" si="288"/>
        <v>143.64332040179735</v>
      </c>
    </row>
    <row r="484" spans="22:39">
      <c r="V484">
        <f>K264</f>
        <v>2175</v>
      </c>
      <c r="W484" s="26">
        <f t="shared" si="291"/>
        <v>28.624006014499969</v>
      </c>
      <c r="Y484">
        <f t="shared" si="289"/>
        <v>2175</v>
      </c>
      <c r="Z484">
        <f t="shared" si="290"/>
        <v>28.624006014499969</v>
      </c>
      <c r="AK484">
        <f t="shared" si="287"/>
        <v>142.60049003223219</v>
      </c>
      <c r="AM484">
        <f t="shared" si="288"/>
        <v>142.60049003223219</v>
      </c>
    </row>
    <row r="485" spans="22:39">
      <c r="V485">
        <f>K265</f>
        <v>2180</v>
      </c>
      <c r="W485" s="26">
        <f t="shared" si="291"/>
        <v>28.416189998392905</v>
      </c>
      <c r="Y485">
        <f t="shared" si="289"/>
        <v>2180</v>
      </c>
      <c r="Z485">
        <f t="shared" si="290"/>
        <v>28.416189998392905</v>
      </c>
      <c r="AK485">
        <f t="shared" si="287"/>
        <v>141.56566027926402</v>
      </c>
      <c r="AM485">
        <f t="shared" si="288"/>
        <v>141.56566027926402</v>
      </c>
    </row>
    <row r="486" spans="22:39">
      <c r="V486">
        <f>K266</f>
        <v>2185</v>
      </c>
      <c r="W486" s="26">
        <f t="shared" si="291"/>
        <v>28.210074113312704</v>
      </c>
      <c r="Y486">
        <f t="shared" si="289"/>
        <v>2185</v>
      </c>
      <c r="Z486">
        <f t="shared" si="290"/>
        <v>28.210074113312704</v>
      </c>
      <c r="AK486">
        <f t="shared" si="287"/>
        <v>140.53908116216152</v>
      </c>
      <c r="AM486">
        <f t="shared" si="288"/>
        <v>140.53908116216152</v>
      </c>
    </row>
    <row r="487" spans="22:39">
      <c r="V487">
        <f>K267</f>
        <v>2190</v>
      </c>
      <c r="W487" s="26">
        <f t="shared" si="291"/>
        <v>28.005558351551908</v>
      </c>
      <c r="Y487">
        <f t="shared" si="289"/>
        <v>2190</v>
      </c>
      <c r="Z487">
        <f t="shared" si="290"/>
        <v>28.005558351551908</v>
      </c>
      <c r="AK487">
        <f t="shared" si="287"/>
        <v>139.52025264238739</v>
      </c>
      <c r="AM487">
        <f t="shared" si="288"/>
        <v>139.52025264238739</v>
      </c>
    </row>
    <row r="488" spans="22:39">
      <c r="V488">
        <f>K268</f>
        <v>2195</v>
      </c>
      <c r="W488" s="26">
        <f t="shared" si="291"/>
        <v>27.802542705403042</v>
      </c>
      <c r="Y488">
        <f t="shared" si="289"/>
        <v>2195</v>
      </c>
      <c r="Z488">
        <f t="shared" si="290"/>
        <v>27.802542705403042</v>
      </c>
      <c r="AK488">
        <f t="shared" si="287"/>
        <v>138.50892470067291</v>
      </c>
      <c r="AM488">
        <f t="shared" si="288"/>
        <v>138.50892470067291</v>
      </c>
    </row>
    <row r="489" spans="22:39">
      <c r="V489">
        <f>K269</f>
        <v>2200</v>
      </c>
      <c r="W489" s="26">
        <f t="shared" si="291"/>
        <v>27.601027174866122</v>
      </c>
      <c r="Y489">
        <f t="shared" si="289"/>
        <v>2200</v>
      </c>
      <c r="Z489">
        <f t="shared" si="290"/>
        <v>27.601027174866122</v>
      </c>
      <c r="AK489">
        <f t="shared" si="287"/>
        <v>137.50534735628679</v>
      </c>
      <c r="AM489">
        <f t="shared" si="288"/>
        <v>137.50534735628679</v>
      </c>
    </row>
    <row r="490" spans="22:39">
      <c r="V490">
        <f>K270</f>
        <v>2205</v>
      </c>
      <c r="W490" s="26">
        <f t="shared" si="291"/>
        <v>27.401111767648601</v>
      </c>
      <c r="Y490">
        <f t="shared" si="289"/>
        <v>2205</v>
      </c>
      <c r="Z490">
        <f t="shared" si="290"/>
        <v>27.401111767648601</v>
      </c>
      <c r="AK490">
        <f t="shared" si="287"/>
        <v>136.54277317196031</v>
      </c>
      <c r="AM490">
        <f t="shared" si="288"/>
        <v>136.54277317196031</v>
      </c>
    </row>
    <row r="491" spans="22:39">
      <c r="V491">
        <f>K271</f>
        <v>2210</v>
      </c>
      <c r="W491" s="26">
        <f t="shared" si="291"/>
        <v>27.215997501135519</v>
      </c>
      <c r="Y491">
        <f t="shared" si="289"/>
        <v>2210</v>
      </c>
      <c r="Z491">
        <f t="shared" si="290"/>
        <v>27.215997501135519</v>
      </c>
      <c r="AK491">
        <f t="shared" si="287"/>
        <v>135.62020207061877</v>
      </c>
      <c r="AM491">
        <f t="shared" si="288"/>
        <v>135.62020207061877</v>
      </c>
    </row>
    <row r="492" spans="22:39">
      <c r="V492">
        <f>K272</f>
        <v>2215</v>
      </c>
      <c r="W492" s="26">
        <f t="shared" si="291"/>
        <v>27.032083327111994</v>
      </c>
      <c r="Y492">
        <f t="shared" si="289"/>
        <v>2215</v>
      </c>
      <c r="Z492">
        <f t="shared" si="290"/>
        <v>27.032083327111994</v>
      </c>
      <c r="AK492">
        <f t="shared" si="287"/>
        <v>134.70413147026235</v>
      </c>
      <c r="AM492">
        <f t="shared" si="288"/>
        <v>134.70413147026235</v>
      </c>
    </row>
    <row r="493" spans="22:39">
      <c r="V493">
        <f>K273</f>
        <v>2220</v>
      </c>
      <c r="W493" s="26">
        <f t="shared" si="291"/>
        <v>26.849569260992947</v>
      </c>
      <c r="Y493">
        <f t="shared" si="289"/>
        <v>2220</v>
      </c>
      <c r="Z493">
        <f t="shared" si="290"/>
        <v>26.849569260992947</v>
      </c>
      <c r="AK493">
        <f t="shared" si="287"/>
        <v>133.79506140942829</v>
      </c>
      <c r="AM493">
        <f t="shared" si="288"/>
        <v>133.79506140942829</v>
      </c>
    </row>
    <row r="494" spans="22:39">
      <c r="V494">
        <f>K274</f>
        <v>2225</v>
      </c>
      <c r="W494" s="26">
        <f t="shared" si="291"/>
        <v>26.668455302778369</v>
      </c>
      <c r="Y494">
        <f t="shared" si="289"/>
        <v>2225</v>
      </c>
      <c r="Z494">
        <f t="shared" si="290"/>
        <v>26.668455302778369</v>
      </c>
      <c r="AK494">
        <f t="shared" si="287"/>
        <v>132.89274186884793</v>
      </c>
      <c r="AM494">
        <f t="shared" si="288"/>
        <v>132.89274186884793</v>
      </c>
    </row>
    <row r="495" spans="22:39">
      <c r="V495">
        <f>K275</f>
        <v>2230</v>
      </c>
      <c r="W495" s="26">
        <f t="shared" si="291"/>
        <v>26.488641444760805</v>
      </c>
      <c r="Y495">
        <f t="shared" si="289"/>
        <v>2230</v>
      </c>
      <c r="Z495">
        <f t="shared" si="290"/>
        <v>26.488641444760805</v>
      </c>
      <c r="AK495">
        <f t="shared" si="287"/>
        <v>131.99692282925264</v>
      </c>
      <c r="AM495">
        <f t="shared" si="288"/>
        <v>131.99692282925264</v>
      </c>
    </row>
    <row r="496" spans="22:39">
      <c r="V496">
        <f>K276</f>
        <v>2235</v>
      </c>
      <c r="W496" s="26">
        <f t="shared" si="291"/>
        <v>26.310127686940252</v>
      </c>
      <c r="Y496">
        <f t="shared" si="289"/>
        <v>2235</v>
      </c>
      <c r="Z496">
        <f t="shared" si="290"/>
        <v>26.310127686940252</v>
      </c>
      <c r="AK496">
        <f t="shared" si="287"/>
        <v>131.10760429064243</v>
      </c>
      <c r="AM496">
        <f t="shared" si="288"/>
        <v>131.10760429064243</v>
      </c>
    </row>
    <row r="497" spans="22:39">
      <c r="V497">
        <f>K277</f>
        <v>2240</v>
      </c>
      <c r="W497" s="26">
        <f t="shared" si="291"/>
        <v>26.132914029316716</v>
      </c>
      <c r="Y497">
        <f t="shared" si="289"/>
        <v>2240</v>
      </c>
      <c r="Z497">
        <f t="shared" si="290"/>
        <v>26.132914029316716</v>
      </c>
      <c r="AK497">
        <f t="shared" si="287"/>
        <v>130.22503627228593</v>
      </c>
      <c r="AM497">
        <f t="shared" si="288"/>
        <v>130.22503627228593</v>
      </c>
    </row>
    <row r="498" spans="22:39">
      <c r="V498">
        <f>K278</f>
        <v>2245</v>
      </c>
      <c r="W498" s="26">
        <f t="shared" si="291"/>
        <v>25.957100479597656</v>
      </c>
      <c r="Y498">
        <f t="shared" si="289"/>
        <v>2245</v>
      </c>
      <c r="Z498">
        <f t="shared" si="290"/>
        <v>25.957100479597656</v>
      </c>
      <c r="AK498">
        <f t="shared" si="287"/>
        <v>129.34896875491449</v>
      </c>
      <c r="AM498">
        <f t="shared" si="288"/>
        <v>129.34896875491449</v>
      </c>
    </row>
    <row r="499" spans="22:39">
      <c r="V499">
        <f>K279</f>
        <v>2250</v>
      </c>
      <c r="W499" s="26">
        <f t="shared" si="291"/>
        <v>25.782487022368141</v>
      </c>
      <c r="Y499">
        <f t="shared" si="289"/>
        <v>2250</v>
      </c>
      <c r="Z499">
        <f t="shared" si="290"/>
        <v>25.782487022368141</v>
      </c>
      <c r="AK499">
        <f t="shared" si="287"/>
        <v>128.47940173852808</v>
      </c>
      <c r="AM499">
        <f t="shared" si="288"/>
        <v>128.47940173852808</v>
      </c>
    </row>
    <row r="500" spans="22:39">
      <c r="V500">
        <f>K280</f>
        <v>2255</v>
      </c>
      <c r="W500" s="26">
        <f t="shared" si="291"/>
        <v>25.609273673043095</v>
      </c>
      <c r="Y500">
        <f t="shared" si="289"/>
        <v>2255</v>
      </c>
      <c r="Z500">
        <f t="shared" si="290"/>
        <v>25.609273673043095</v>
      </c>
      <c r="AK500">
        <f t="shared" si="287"/>
        <v>127.61608520385809</v>
      </c>
      <c r="AM500">
        <f t="shared" si="288"/>
        <v>127.61608520385809</v>
      </c>
    </row>
    <row r="501" spans="22:39">
      <c r="V501">
        <f>K281</f>
        <v>2260</v>
      </c>
      <c r="W501" s="26">
        <f t="shared" si="291"/>
        <v>25.437160408500144</v>
      </c>
      <c r="Y501">
        <f t="shared" si="289"/>
        <v>2260</v>
      </c>
      <c r="Z501">
        <f t="shared" si="290"/>
        <v>25.437160408500144</v>
      </c>
      <c r="AK501">
        <f t="shared" si="287"/>
        <v>126.75901915090455</v>
      </c>
      <c r="AM501">
        <f t="shared" si="288"/>
        <v>126.75901915090455</v>
      </c>
    </row>
    <row r="502" spans="22:39">
      <c r="V502">
        <f>K282</f>
        <v>2265</v>
      </c>
      <c r="W502" s="26">
        <f t="shared" si="291"/>
        <v>25.266447251861674</v>
      </c>
      <c r="Y502">
        <f t="shared" si="289"/>
        <v>2265</v>
      </c>
      <c r="Z502">
        <f t="shared" si="290"/>
        <v>25.266447251861674</v>
      </c>
      <c r="AK502">
        <f t="shared" si="287"/>
        <v>125.90845359893605</v>
      </c>
      <c r="AM502">
        <f t="shared" si="288"/>
        <v>125.90845359893605</v>
      </c>
    </row>
    <row r="503" spans="22:39">
      <c r="V503">
        <f>K283</f>
        <v>2270</v>
      </c>
      <c r="W503" s="26">
        <f t="shared" si="291"/>
        <v>25.096934187712744</v>
      </c>
      <c r="Y503">
        <f t="shared" si="289"/>
        <v>2270</v>
      </c>
      <c r="Z503">
        <f t="shared" si="290"/>
        <v>25.096934187712744</v>
      </c>
      <c r="AK503">
        <f t="shared" si="287"/>
        <v>125.06413852868393</v>
      </c>
      <c r="AM503">
        <f t="shared" si="288"/>
        <v>125.06413852868393</v>
      </c>
    </row>
    <row r="504" spans="22:39">
      <c r="V504">
        <f>K284</f>
        <v>2275</v>
      </c>
      <c r="W504" s="26">
        <f t="shared" si="291"/>
        <v>24.928721223760828</v>
      </c>
      <c r="Y504">
        <f t="shared" si="289"/>
        <v>2275</v>
      </c>
      <c r="Z504">
        <f t="shared" si="290"/>
        <v>24.928721223760828</v>
      </c>
      <c r="AK504">
        <f t="shared" si="287"/>
        <v>124.22607394014821</v>
      </c>
      <c r="AM504">
        <f t="shared" si="288"/>
        <v>124.22607394014821</v>
      </c>
    </row>
    <row r="505" spans="22:39">
      <c r="V505">
        <f>K285</f>
        <v>2280</v>
      </c>
      <c r="W505" s="26">
        <f t="shared" si="291"/>
        <v>24.761708352298463</v>
      </c>
      <c r="Y505">
        <f t="shared" si="289"/>
        <v>2280</v>
      </c>
      <c r="Z505">
        <f t="shared" si="290"/>
        <v>24.761708352298463</v>
      </c>
      <c r="AK505">
        <f t="shared" si="287"/>
        <v>123.39425983332895</v>
      </c>
      <c r="AM505">
        <f t="shared" si="288"/>
        <v>123.39425983332895</v>
      </c>
    </row>
    <row r="506" spans="22:39">
      <c r="V506">
        <f>K286</f>
        <v>2285</v>
      </c>
      <c r="W506" s="26">
        <f t="shared" si="291"/>
        <v>24.595995581033112</v>
      </c>
      <c r="Y506">
        <f t="shared" si="289"/>
        <v>2285</v>
      </c>
      <c r="Z506">
        <f t="shared" si="290"/>
        <v>24.595995581033112</v>
      </c>
      <c r="AK506">
        <f t="shared" si="287"/>
        <v>122.56844618895741</v>
      </c>
      <c r="AM506">
        <f t="shared" si="288"/>
        <v>122.56844618895741</v>
      </c>
    </row>
    <row r="507" spans="22:39">
      <c r="V507">
        <f>K287</f>
        <v>2290</v>
      </c>
      <c r="W507" s="26">
        <f t="shared" si="291"/>
        <v>24.431382894549852</v>
      </c>
      <c r="Y507">
        <f t="shared" si="289"/>
        <v>2290</v>
      </c>
      <c r="Z507">
        <f t="shared" si="290"/>
        <v>24.431382894549852</v>
      </c>
      <c r="AK507">
        <f t="shared" si="287"/>
        <v>121.74863300703362</v>
      </c>
      <c r="AM507">
        <f t="shared" si="288"/>
        <v>121.74863300703362</v>
      </c>
    </row>
    <row r="508" spans="22:39">
      <c r="V508">
        <f>K288</f>
        <v>2295</v>
      </c>
      <c r="W508" s="26">
        <f t="shared" si="291"/>
        <v>24.268070308263596</v>
      </c>
      <c r="Y508">
        <f t="shared" si="289"/>
        <v>2295</v>
      </c>
      <c r="Z508">
        <f t="shared" si="290"/>
        <v>24.268070308263596</v>
      </c>
      <c r="AK508">
        <f t="shared" si="287"/>
        <v>120.93507030682623</v>
      </c>
      <c r="AM508">
        <f t="shared" si="288"/>
        <v>120.93507030682623</v>
      </c>
    </row>
    <row r="509" spans="22:39">
      <c r="V509">
        <f>K289</f>
        <v>2300</v>
      </c>
      <c r="W509" s="26">
        <f t="shared" si="291"/>
        <v>24.105957814466898</v>
      </c>
      <c r="Y509">
        <f t="shared" si="289"/>
        <v>2300</v>
      </c>
      <c r="Z509">
        <f t="shared" si="290"/>
        <v>24.105957814466898</v>
      </c>
      <c r="AK509">
        <f t="shared" si="287"/>
        <v>120.12725804979794</v>
      </c>
      <c r="AM509">
        <f t="shared" si="288"/>
        <v>120.12725804979794</v>
      </c>
    </row>
    <row r="510" spans="22:39">
      <c r="V510">
        <f>K290</f>
        <v>2305</v>
      </c>
      <c r="W510" s="26">
        <f t="shared" si="291"/>
        <v>23.944945405452284</v>
      </c>
      <c r="Y510">
        <f t="shared" si="289"/>
        <v>2305</v>
      </c>
      <c r="Z510">
        <f t="shared" si="290"/>
        <v>23.944945405452284</v>
      </c>
      <c r="AK510">
        <f t="shared" si="287"/>
        <v>119.32519623594877</v>
      </c>
      <c r="AM510">
        <f t="shared" si="288"/>
        <v>119.32519623594877</v>
      </c>
    </row>
    <row r="511" spans="22:39">
      <c r="V511">
        <f>K291</f>
        <v>2310</v>
      </c>
      <c r="W511" s="26">
        <f t="shared" si="291"/>
        <v>23.785133088927221</v>
      </c>
      <c r="Y511">
        <f t="shared" si="289"/>
        <v>2310</v>
      </c>
      <c r="Z511">
        <f t="shared" si="290"/>
        <v>23.785133088927221</v>
      </c>
      <c r="AK511">
        <f t="shared" si="287"/>
        <v>118.52938490381597</v>
      </c>
      <c r="AM511">
        <f t="shared" si="288"/>
        <v>118.52938490381597</v>
      </c>
    </row>
    <row r="512" spans="22:39">
      <c r="V512">
        <f>K292</f>
        <v>2315</v>
      </c>
      <c r="W512" s="26">
        <f t="shared" si="291"/>
        <v>23.626620872599165</v>
      </c>
      <c r="Y512">
        <f t="shared" si="289"/>
        <v>2315</v>
      </c>
      <c r="Z512">
        <f t="shared" si="290"/>
        <v>23.626620872599165</v>
      </c>
      <c r="AK512">
        <f t="shared" si="287"/>
        <v>117.73957403413092</v>
      </c>
      <c r="AM512">
        <f t="shared" si="288"/>
        <v>117.73957403413092</v>
      </c>
    </row>
    <row r="513" spans="22:39">
      <c r="V513">
        <f>K293</f>
        <v>2320</v>
      </c>
      <c r="W513" s="26">
        <f t="shared" si="291"/>
        <v>23.469208741053205</v>
      </c>
      <c r="Y513">
        <f t="shared" si="289"/>
        <v>2320</v>
      </c>
      <c r="Z513">
        <f t="shared" si="290"/>
        <v>23.469208741053205</v>
      </c>
      <c r="AK513">
        <f t="shared" si="287"/>
        <v>116.95526358835633</v>
      </c>
      <c r="AM513">
        <f t="shared" si="288"/>
        <v>116.95526358835633</v>
      </c>
    </row>
    <row r="514" spans="22:39">
      <c r="V514">
        <f>K294</f>
        <v>2325</v>
      </c>
      <c r="W514" s="26">
        <f t="shared" si="291"/>
        <v>23.312896694289321</v>
      </c>
      <c r="Y514">
        <f t="shared" si="289"/>
        <v>2325</v>
      </c>
      <c r="Z514">
        <f t="shared" si="290"/>
        <v>23.312896694289321</v>
      </c>
      <c r="AK514">
        <f t="shared" si="287"/>
        <v>116.17670358576079</v>
      </c>
      <c r="AM514">
        <f t="shared" si="288"/>
        <v>116.17670358576079</v>
      </c>
    </row>
    <row r="515" spans="22:39">
      <c r="V515">
        <f>K295</f>
        <v>2330</v>
      </c>
      <c r="W515" s="26">
        <f t="shared" si="291"/>
        <v>23.157784740014996</v>
      </c>
      <c r="Y515">
        <f t="shared" si="289"/>
        <v>2330</v>
      </c>
      <c r="Z515">
        <f t="shared" si="290"/>
        <v>23.157784740014996</v>
      </c>
      <c r="AK515">
        <f t="shared" si="287"/>
        <v>115.40389402634439</v>
      </c>
      <c r="AM515">
        <f t="shared" si="288"/>
        <v>115.40389402634439</v>
      </c>
    </row>
    <row r="516" spans="22:39">
      <c r="V516">
        <f>K296</f>
        <v>2335</v>
      </c>
      <c r="W516" s="26">
        <f t="shared" si="291"/>
        <v>23.003772870522756</v>
      </c>
      <c r="Y516">
        <f t="shared" si="289"/>
        <v>2335</v>
      </c>
      <c r="Z516">
        <f t="shared" si="290"/>
        <v>23.003772870522756</v>
      </c>
      <c r="AK516">
        <f t="shared" si="287"/>
        <v>114.63683491010705</v>
      </c>
      <c r="AM516">
        <f t="shared" si="288"/>
        <v>114.63683491010705</v>
      </c>
    </row>
    <row r="517" spans="22:39">
      <c r="V517">
        <f>K297</f>
        <v>2340</v>
      </c>
      <c r="W517" s="26">
        <f t="shared" si="291"/>
        <v>22.850961093520066</v>
      </c>
      <c r="Y517">
        <f t="shared" si="289"/>
        <v>2340</v>
      </c>
      <c r="Z517">
        <f t="shared" si="290"/>
        <v>22.850961093520066</v>
      </c>
      <c r="AK517">
        <f t="shared" si="287"/>
        <v>113.87527621778017</v>
      </c>
      <c r="AM517">
        <f t="shared" si="288"/>
        <v>113.87527621778017</v>
      </c>
    </row>
    <row r="518" spans="22:39">
      <c r="V518">
        <f>K298</f>
        <v>2345</v>
      </c>
      <c r="W518" s="26">
        <f t="shared" si="291"/>
        <v>22.699149393591998</v>
      </c>
      <c r="Y518">
        <f t="shared" si="289"/>
        <v>2345</v>
      </c>
      <c r="Z518">
        <f t="shared" si="290"/>
        <v>22.699149393591998</v>
      </c>
      <c r="AK518">
        <f t="shared" si="287"/>
        <v>113.1192179493637</v>
      </c>
      <c r="AM518">
        <f t="shared" si="288"/>
        <v>113.1192179493637</v>
      </c>
    </row>
    <row r="519" spans="22:39">
      <c r="V519">
        <f>K299</f>
        <v>2350</v>
      </c>
      <c r="W519" s="26">
        <f t="shared" si="291"/>
        <v>22.548537786153485</v>
      </c>
      <c r="Y519">
        <f t="shared" si="289"/>
        <v>2350</v>
      </c>
      <c r="Z519">
        <f t="shared" si="290"/>
        <v>22.548537786153485</v>
      </c>
      <c r="AK519">
        <f t="shared" si="287"/>
        <v>112.36891012412634</v>
      </c>
      <c r="AM519">
        <f t="shared" si="288"/>
        <v>112.36891012412634</v>
      </c>
    </row>
    <row r="520" spans="22:39">
      <c r="V520">
        <f>K300</f>
        <v>2355</v>
      </c>
      <c r="W520" s="26">
        <f t="shared" si="291"/>
        <v>22.399026263497056</v>
      </c>
      <c r="Y520">
        <f t="shared" si="289"/>
        <v>2355</v>
      </c>
      <c r="Z520">
        <f t="shared" si="290"/>
        <v>22.399026263497056</v>
      </c>
      <c r="AK520">
        <f t="shared" si="287"/>
        <v>111.62410272279942</v>
      </c>
      <c r="AM520">
        <f t="shared" si="288"/>
        <v>111.62410272279942</v>
      </c>
    </row>
    <row r="521" spans="22:39">
      <c r="V521">
        <f>K301</f>
        <v>2360</v>
      </c>
      <c r="W521" s="26">
        <f t="shared" si="291"/>
        <v>22.250614825622716</v>
      </c>
      <c r="Y521">
        <f t="shared" si="289"/>
        <v>2360</v>
      </c>
      <c r="Z521">
        <f t="shared" si="290"/>
        <v>22.250614825622716</v>
      </c>
      <c r="AK521">
        <f t="shared" si="287"/>
        <v>110.88479574538296</v>
      </c>
      <c r="AM521">
        <f t="shared" si="288"/>
        <v>110.88479574538296</v>
      </c>
    </row>
    <row r="522" spans="22:39">
      <c r="V522">
        <f>K302</f>
        <v>2365</v>
      </c>
      <c r="W522" s="26">
        <f t="shared" si="291"/>
        <v>22.103303472530467</v>
      </c>
      <c r="Y522">
        <f t="shared" si="289"/>
        <v>2365</v>
      </c>
      <c r="Z522">
        <f t="shared" si="290"/>
        <v>22.103303472530467</v>
      </c>
      <c r="AK522">
        <f t="shared" si="287"/>
        <v>110.15073917260824</v>
      </c>
      <c r="AM522">
        <f t="shared" si="288"/>
        <v>110.15073917260824</v>
      </c>
    </row>
    <row r="523" spans="22:39">
      <c r="V523">
        <f>K303</f>
        <v>2370</v>
      </c>
      <c r="W523" s="26">
        <f t="shared" si="291"/>
        <v>21.956992196512836</v>
      </c>
      <c r="Y523">
        <f t="shared" si="289"/>
        <v>2370</v>
      </c>
      <c r="Z523">
        <f t="shared" si="290"/>
        <v>21.956992196512836</v>
      </c>
      <c r="AK523">
        <f t="shared" si="287"/>
        <v>109.42193300447533</v>
      </c>
      <c r="AM523">
        <f t="shared" si="288"/>
        <v>109.42193300447533</v>
      </c>
    </row>
    <row r="524" spans="22:39">
      <c r="V524">
        <f>K304</f>
        <v>2375</v>
      </c>
      <c r="W524" s="26">
        <f t="shared" si="291"/>
        <v>21.811781005277297</v>
      </c>
      <c r="Y524">
        <f t="shared" si="289"/>
        <v>2375</v>
      </c>
      <c r="Z524">
        <f t="shared" si="290"/>
        <v>21.811781005277297</v>
      </c>
      <c r="AK524">
        <f t="shared" si="287"/>
        <v>108.69862726025286</v>
      </c>
      <c r="AM524">
        <f t="shared" si="288"/>
        <v>108.69862726025286</v>
      </c>
    </row>
    <row r="525" spans="22:39">
      <c r="V525">
        <f>K305</f>
        <v>2380</v>
      </c>
      <c r="W525" s="26">
        <f t="shared" si="291"/>
        <v>21.667669898823846</v>
      </c>
      <c r="Y525">
        <f t="shared" si="289"/>
        <v>2380</v>
      </c>
      <c r="Z525">
        <f t="shared" si="290"/>
        <v>21.667669898823846</v>
      </c>
      <c r="AK525">
        <f t="shared" ref="AK525:AK588" si="292">0.5*(V526-V525)*(W525+W526)</f>
        <v>107.98057192067216</v>
      </c>
      <c r="AM525">
        <f t="shared" ref="AM525:AM588" si="293">0.5*(V526-V525)*(W525+W526)</f>
        <v>107.98057192067216</v>
      </c>
    </row>
    <row r="526" spans="22:39">
      <c r="V526">
        <f>K306</f>
        <v>2385</v>
      </c>
      <c r="W526" s="26">
        <f t="shared" si="291"/>
        <v>21.524558869445013</v>
      </c>
      <c r="Y526">
        <f t="shared" ref="Y526:Y589" si="294">V526</f>
        <v>2385</v>
      </c>
      <c r="Z526">
        <f t="shared" ref="Z526:Z589" si="295">W526</f>
        <v>21.524558869445013</v>
      </c>
      <c r="AK526">
        <f t="shared" si="292"/>
        <v>107.2677669857332</v>
      </c>
      <c r="AM526">
        <f t="shared" si="293"/>
        <v>107.2677669857332</v>
      </c>
    </row>
    <row r="527" spans="22:39">
      <c r="V527">
        <f>K307</f>
        <v>2390</v>
      </c>
      <c r="W527" s="26">
        <f t="shared" ref="W527:W590" si="296">IF(L306=0,0,L306/$T$51)</f>
        <v>21.382547924848271</v>
      </c>
      <c r="Y527">
        <f t="shared" si="294"/>
        <v>2390</v>
      </c>
      <c r="Z527">
        <f t="shared" si="295"/>
        <v>21.382547924848271</v>
      </c>
      <c r="AK527">
        <f t="shared" si="292"/>
        <v>106.56021245543606</v>
      </c>
      <c r="AM527">
        <f t="shared" si="293"/>
        <v>106.56021245543606</v>
      </c>
    </row>
    <row r="528" spans="22:39">
      <c r="V528">
        <f>K308</f>
        <v>2395</v>
      </c>
      <c r="W528" s="26">
        <f t="shared" si="296"/>
        <v>21.241537057326152</v>
      </c>
      <c r="Y528">
        <f t="shared" si="294"/>
        <v>2395</v>
      </c>
      <c r="Z528">
        <f t="shared" si="295"/>
        <v>21.241537057326152</v>
      </c>
      <c r="AK528">
        <f t="shared" si="292"/>
        <v>105.8579083297807</v>
      </c>
      <c r="AM528">
        <f t="shared" si="293"/>
        <v>105.8579083297807</v>
      </c>
    </row>
    <row r="529" spans="22:39">
      <c r="V529">
        <f>K309</f>
        <v>2400</v>
      </c>
      <c r="W529" s="26">
        <f t="shared" si="296"/>
        <v>21.101626274586131</v>
      </c>
      <c r="Y529">
        <f t="shared" si="294"/>
        <v>2400</v>
      </c>
      <c r="Z529">
        <f t="shared" si="295"/>
        <v>21.101626274586131</v>
      </c>
      <c r="AK529">
        <f t="shared" si="292"/>
        <v>105.16085460876712</v>
      </c>
      <c r="AM529">
        <f t="shared" si="293"/>
        <v>105.16085460876712</v>
      </c>
    </row>
    <row r="530" spans="22:39">
      <c r="V530">
        <f>K310</f>
        <v>2405</v>
      </c>
      <c r="W530" s="26">
        <f t="shared" si="296"/>
        <v>20.962715568920725</v>
      </c>
      <c r="Y530">
        <f t="shared" si="294"/>
        <v>2405</v>
      </c>
      <c r="Z530">
        <f t="shared" si="295"/>
        <v>20.962715568920725</v>
      </c>
      <c r="AK530">
        <f t="shared" si="292"/>
        <v>104.46280081067894</v>
      </c>
      <c r="AM530">
        <f t="shared" si="293"/>
        <v>104.46280081067894</v>
      </c>
    </row>
    <row r="531" spans="22:39">
      <c r="V531">
        <f>K311</f>
        <v>2410</v>
      </c>
      <c r="W531" s="26">
        <f t="shared" si="296"/>
        <v>20.822404755350849</v>
      </c>
      <c r="Y531">
        <f t="shared" si="294"/>
        <v>2410</v>
      </c>
      <c r="Z531">
        <f t="shared" si="295"/>
        <v>20.822404755350849</v>
      </c>
      <c r="AK531">
        <f t="shared" si="292"/>
        <v>103.76374693551611</v>
      </c>
      <c r="AM531">
        <f t="shared" si="293"/>
        <v>103.76374693551611</v>
      </c>
    </row>
    <row r="532" spans="22:39">
      <c r="V532">
        <f>K312</f>
        <v>2415</v>
      </c>
      <c r="W532" s="26">
        <f t="shared" si="296"/>
        <v>20.683094018855591</v>
      </c>
      <c r="Y532">
        <f t="shared" si="294"/>
        <v>2415</v>
      </c>
      <c r="Z532">
        <f t="shared" si="295"/>
        <v>20.683094018855591</v>
      </c>
      <c r="AK532">
        <f t="shared" si="292"/>
        <v>103.07019348426368</v>
      </c>
      <c r="AM532">
        <f t="shared" si="293"/>
        <v>103.07019348426368</v>
      </c>
    </row>
    <row r="533" spans="22:39">
      <c r="V533">
        <f>K313</f>
        <v>2420</v>
      </c>
      <c r="W533" s="26">
        <f t="shared" si="296"/>
        <v>20.544983374849888</v>
      </c>
      <c r="Y533">
        <f t="shared" si="294"/>
        <v>2420</v>
      </c>
      <c r="Z533">
        <f t="shared" si="295"/>
        <v>20.544983374849888</v>
      </c>
      <c r="AK533">
        <f t="shared" si="292"/>
        <v>102.3818904376531</v>
      </c>
      <c r="AM533">
        <f t="shared" si="293"/>
        <v>102.3818904376531</v>
      </c>
    </row>
    <row r="534" spans="22:39">
      <c r="V534">
        <f>K314</f>
        <v>2425</v>
      </c>
      <c r="W534" s="26">
        <f t="shared" si="296"/>
        <v>20.407772800211347</v>
      </c>
      <c r="Y534">
        <f t="shared" si="294"/>
        <v>2425</v>
      </c>
      <c r="Z534">
        <f t="shared" si="295"/>
        <v>20.407772800211347</v>
      </c>
      <c r="AK534">
        <f t="shared" si="292"/>
        <v>101.69833775714694</v>
      </c>
      <c r="AM534">
        <f t="shared" si="293"/>
        <v>101.69833775714694</v>
      </c>
    </row>
    <row r="535" spans="22:39">
      <c r="V535">
        <f>K315</f>
        <v>2430</v>
      </c>
      <c r="W535" s="26">
        <f t="shared" si="296"/>
        <v>20.271562302647432</v>
      </c>
      <c r="Y535">
        <f t="shared" si="294"/>
        <v>2430</v>
      </c>
      <c r="Z535">
        <f t="shared" si="295"/>
        <v>20.271562302647432</v>
      </c>
      <c r="AK535">
        <f t="shared" si="292"/>
        <v>101.01978546201394</v>
      </c>
      <c r="AM535">
        <f t="shared" si="293"/>
        <v>101.01978546201394</v>
      </c>
    </row>
    <row r="536" spans="22:39">
      <c r="V536">
        <f>K316</f>
        <v>2435</v>
      </c>
      <c r="W536" s="26">
        <f t="shared" si="296"/>
        <v>20.136351882158142</v>
      </c>
      <c r="Y536">
        <f t="shared" si="294"/>
        <v>2435</v>
      </c>
      <c r="Z536">
        <f t="shared" si="295"/>
        <v>20.136351882158142</v>
      </c>
      <c r="AK536">
        <f t="shared" si="292"/>
        <v>100.34623355225403</v>
      </c>
      <c r="AM536">
        <f t="shared" si="293"/>
        <v>100.34623355225403</v>
      </c>
    </row>
    <row r="537" spans="22:39">
      <c r="V537">
        <f>K317</f>
        <v>2440</v>
      </c>
      <c r="W537" s="26">
        <f t="shared" si="296"/>
        <v>20.002141538743473</v>
      </c>
      <c r="Y537">
        <f t="shared" si="294"/>
        <v>2440</v>
      </c>
      <c r="Z537">
        <f t="shared" si="295"/>
        <v>20.002141538743473</v>
      </c>
      <c r="AK537">
        <f t="shared" si="292"/>
        <v>99.677682027867277</v>
      </c>
      <c r="AM537">
        <f t="shared" si="293"/>
        <v>99.677682027867277</v>
      </c>
    </row>
    <row r="538" spans="22:39">
      <c r="V538">
        <f>K318</f>
        <v>2445</v>
      </c>
      <c r="W538" s="26">
        <f t="shared" si="296"/>
        <v>19.868931272403437</v>
      </c>
      <c r="Y538">
        <f t="shared" si="294"/>
        <v>2445</v>
      </c>
      <c r="Z538">
        <f t="shared" si="295"/>
        <v>19.868931272403437</v>
      </c>
      <c r="AK538">
        <f t="shared" si="292"/>
        <v>99.014130888853629</v>
      </c>
      <c r="AM538">
        <f t="shared" si="293"/>
        <v>99.014130888853629</v>
      </c>
    </row>
    <row r="539" spans="22:39">
      <c r="V539">
        <f>K319</f>
        <v>2450</v>
      </c>
      <c r="W539" s="26">
        <f t="shared" si="296"/>
        <v>19.736721083138018</v>
      </c>
      <c r="Y539">
        <f t="shared" si="294"/>
        <v>2450</v>
      </c>
      <c r="Z539">
        <f t="shared" si="295"/>
        <v>19.736721083138018</v>
      </c>
      <c r="AK539">
        <f t="shared" si="292"/>
        <v>98.355330115944469</v>
      </c>
      <c r="AM539">
        <f t="shared" si="293"/>
        <v>98.355330115944469</v>
      </c>
    </row>
    <row r="540" spans="22:39">
      <c r="V540">
        <f>K320</f>
        <v>2455</v>
      </c>
      <c r="W540" s="26">
        <f t="shared" si="296"/>
        <v>19.605410963239763</v>
      </c>
      <c r="Y540">
        <f t="shared" si="294"/>
        <v>2455</v>
      </c>
      <c r="Z540">
        <f t="shared" si="295"/>
        <v>19.605410963239763</v>
      </c>
      <c r="AK540">
        <f t="shared" si="292"/>
        <v>97.701529728408403</v>
      </c>
      <c r="AM540">
        <f t="shared" si="293"/>
        <v>97.701529728408403</v>
      </c>
    </row>
    <row r="541" spans="22:39">
      <c r="V541">
        <f>K321</f>
        <v>2460</v>
      </c>
      <c r="W541" s="26">
        <f t="shared" si="296"/>
        <v>19.475200928123598</v>
      </c>
      <c r="Y541">
        <f t="shared" si="294"/>
        <v>2460</v>
      </c>
      <c r="Z541">
        <f t="shared" si="295"/>
        <v>19.475200928123598</v>
      </c>
      <c r="AK541">
        <f t="shared" si="292"/>
        <v>97.05247970697684</v>
      </c>
      <c r="AM541">
        <f t="shared" si="293"/>
        <v>97.05247970697684</v>
      </c>
    </row>
    <row r="542" spans="22:39">
      <c r="V542">
        <f>K322</f>
        <v>2465</v>
      </c>
      <c r="W542" s="26">
        <f t="shared" si="296"/>
        <v>19.345790954667134</v>
      </c>
      <c r="Y542">
        <f t="shared" si="294"/>
        <v>2465</v>
      </c>
      <c r="Z542">
        <f t="shared" si="295"/>
        <v>19.345790954667134</v>
      </c>
      <c r="AK542">
        <f t="shared" si="292"/>
        <v>96.407930032381046</v>
      </c>
      <c r="AM542">
        <f t="shared" si="293"/>
        <v>96.407930032381046</v>
      </c>
    </row>
    <row r="543" spans="22:39">
      <c r="V543">
        <f>K323</f>
        <v>2470</v>
      </c>
      <c r="W543" s="26">
        <f t="shared" si="296"/>
        <v>19.217381058285291</v>
      </c>
      <c r="Y543">
        <f t="shared" si="294"/>
        <v>2470</v>
      </c>
      <c r="Z543">
        <f t="shared" si="295"/>
        <v>19.217381058285291</v>
      </c>
      <c r="AK543">
        <f t="shared" si="292"/>
        <v>95.768380743158417</v>
      </c>
      <c r="AM543">
        <f t="shared" si="293"/>
        <v>95.768380743158417</v>
      </c>
    </row>
    <row r="544" spans="22:39">
      <c r="V544">
        <f>K324</f>
        <v>2475</v>
      </c>
      <c r="W544" s="26">
        <f t="shared" si="296"/>
        <v>19.089971238978073</v>
      </c>
      <c r="Y544">
        <f t="shared" si="294"/>
        <v>2475</v>
      </c>
      <c r="Z544">
        <f t="shared" si="295"/>
        <v>19.089971238978073</v>
      </c>
      <c r="AK544">
        <f t="shared" si="292"/>
        <v>95.133331800771572</v>
      </c>
      <c r="AM544">
        <f t="shared" si="293"/>
        <v>95.133331800771572</v>
      </c>
    </row>
    <row r="545" spans="22:39">
      <c r="V545">
        <f>K325</f>
        <v>2480</v>
      </c>
      <c r="W545" s="26">
        <f t="shared" si="296"/>
        <v>18.963361481330555</v>
      </c>
      <c r="Y545">
        <f t="shared" si="294"/>
        <v>2480</v>
      </c>
      <c r="Z545">
        <f t="shared" si="295"/>
        <v>18.963361481330555</v>
      </c>
      <c r="AK545">
        <f t="shared" si="292"/>
        <v>94.503033224489201</v>
      </c>
      <c r="AM545">
        <f t="shared" si="293"/>
        <v>94.503033224489201</v>
      </c>
    </row>
    <row r="546" spans="22:39">
      <c r="V546">
        <f>K326</f>
        <v>2485</v>
      </c>
      <c r="W546" s="26">
        <f t="shared" si="296"/>
        <v>18.837851808465132</v>
      </c>
      <c r="Y546">
        <f t="shared" si="294"/>
        <v>2485</v>
      </c>
      <c r="Z546">
        <f t="shared" si="295"/>
        <v>18.837851808465132</v>
      </c>
      <c r="AK546">
        <f t="shared" si="292"/>
        <v>93.877485014311333</v>
      </c>
      <c r="AM546">
        <f t="shared" si="293"/>
        <v>93.877485014311333</v>
      </c>
    </row>
    <row r="547" spans="22:39">
      <c r="V547">
        <f>K327</f>
        <v>2490</v>
      </c>
      <c r="W547" s="26">
        <f t="shared" si="296"/>
        <v>18.713142197259398</v>
      </c>
      <c r="Y547">
        <f t="shared" si="294"/>
        <v>2490</v>
      </c>
      <c r="Z547">
        <f t="shared" si="295"/>
        <v>18.713142197259398</v>
      </c>
      <c r="AK547">
        <f t="shared" si="292"/>
        <v>93.256187131700571</v>
      </c>
      <c r="AM547">
        <f t="shared" si="293"/>
        <v>93.256187131700571</v>
      </c>
    </row>
    <row r="548" spans="22:39">
      <c r="V548">
        <f>K328</f>
        <v>2495</v>
      </c>
      <c r="W548" s="26">
        <f t="shared" si="296"/>
        <v>18.589332655420829</v>
      </c>
      <c r="Y548">
        <f t="shared" si="294"/>
        <v>2495</v>
      </c>
      <c r="Z548">
        <f t="shared" si="295"/>
        <v>18.589332655420829</v>
      </c>
      <c r="AK548">
        <f t="shared" si="292"/>
        <v>92.639639615194298</v>
      </c>
      <c r="AM548">
        <f t="shared" si="293"/>
        <v>92.639639615194298</v>
      </c>
    </row>
    <row r="549" spans="22:39">
      <c r="V549">
        <f>K329</f>
        <v>2500</v>
      </c>
      <c r="W549" s="26">
        <f t="shared" si="296"/>
        <v>18.46652319065689</v>
      </c>
      <c r="Y549">
        <f t="shared" si="294"/>
        <v>2500</v>
      </c>
      <c r="Z549">
        <f t="shared" si="295"/>
        <v>18.46652319065689</v>
      </c>
      <c r="AK549">
        <f t="shared" si="292"/>
        <v>92.027592445523837</v>
      </c>
      <c r="AM549">
        <f t="shared" si="293"/>
        <v>92.027592445523837</v>
      </c>
    </row>
    <row r="550" spans="22:39">
      <c r="V550">
        <f>K330</f>
        <v>2505</v>
      </c>
      <c r="W550" s="26">
        <f t="shared" si="296"/>
        <v>18.344513787552646</v>
      </c>
      <c r="Y550">
        <f t="shared" si="294"/>
        <v>2505</v>
      </c>
      <c r="Z550">
        <f t="shared" si="295"/>
        <v>18.344513787552646</v>
      </c>
      <c r="AK550">
        <f t="shared" si="292"/>
        <v>91.419795603420539</v>
      </c>
      <c r="AM550">
        <f t="shared" si="293"/>
        <v>91.419795603420539</v>
      </c>
    </row>
    <row r="551" spans="22:39">
      <c r="V551">
        <f>K331</f>
        <v>2510</v>
      </c>
      <c r="W551" s="26">
        <f t="shared" si="296"/>
        <v>18.223404453815569</v>
      </c>
      <c r="Y551">
        <f t="shared" si="294"/>
        <v>2510</v>
      </c>
      <c r="Z551">
        <f t="shared" si="295"/>
        <v>18.223404453815569</v>
      </c>
      <c r="AK551">
        <f t="shared" si="292"/>
        <v>90.816749127421701</v>
      </c>
      <c r="AM551">
        <f t="shared" si="293"/>
        <v>90.816749127421701</v>
      </c>
    </row>
    <row r="552" spans="22:39">
      <c r="V552">
        <f>K332</f>
        <v>2515</v>
      </c>
      <c r="W552" s="26">
        <f t="shared" si="296"/>
        <v>18.103295197153113</v>
      </c>
      <c r="Y552">
        <f t="shared" si="294"/>
        <v>2515</v>
      </c>
      <c r="Z552">
        <f t="shared" si="295"/>
        <v>18.103295197153113</v>
      </c>
      <c r="AK552">
        <f t="shared" si="292"/>
        <v>90.21820299825869</v>
      </c>
      <c r="AM552">
        <f t="shared" si="293"/>
        <v>90.21820299825869</v>
      </c>
    </row>
    <row r="553" spans="22:39">
      <c r="V553">
        <f>K333</f>
        <v>2520</v>
      </c>
      <c r="W553" s="26">
        <f t="shared" si="296"/>
        <v>17.98398600215036</v>
      </c>
      <c r="Y553">
        <f t="shared" si="294"/>
        <v>2520</v>
      </c>
      <c r="Z553">
        <f t="shared" si="295"/>
        <v>17.98398600215036</v>
      </c>
      <c r="AK553">
        <f t="shared" si="292"/>
        <v>89.623657177394165</v>
      </c>
      <c r="AM553">
        <f t="shared" si="293"/>
        <v>89.623657177394165</v>
      </c>
    </row>
    <row r="554" spans="22:39">
      <c r="V554">
        <f>K334</f>
        <v>2525</v>
      </c>
      <c r="W554" s="26">
        <f t="shared" si="296"/>
        <v>17.865476868807303</v>
      </c>
      <c r="Y554">
        <f t="shared" si="294"/>
        <v>2525</v>
      </c>
      <c r="Z554">
        <f t="shared" si="295"/>
        <v>17.865476868807303</v>
      </c>
      <c r="AK554">
        <f t="shared" si="292"/>
        <v>89.033361684096789</v>
      </c>
      <c r="AM554">
        <f t="shared" si="293"/>
        <v>89.033361684096789</v>
      </c>
    </row>
    <row r="555" spans="22:39">
      <c r="V555">
        <f>K335</f>
        <v>2530</v>
      </c>
      <c r="W555" s="26">
        <f t="shared" si="296"/>
        <v>17.747867804831412</v>
      </c>
      <c r="Y555">
        <f t="shared" si="294"/>
        <v>2530</v>
      </c>
      <c r="Z555">
        <f t="shared" si="295"/>
        <v>17.747867804831412</v>
      </c>
      <c r="AK555">
        <f t="shared" si="292"/>
        <v>88.447566537635225</v>
      </c>
      <c r="AM555">
        <f t="shared" si="293"/>
        <v>88.447566537635225</v>
      </c>
    </row>
    <row r="556" spans="22:39">
      <c r="V556">
        <f>K336</f>
        <v>2535</v>
      </c>
      <c r="W556" s="26">
        <f t="shared" si="296"/>
        <v>17.631158810222679</v>
      </c>
      <c r="Y556">
        <f t="shared" si="294"/>
        <v>2535</v>
      </c>
      <c r="Z556">
        <f t="shared" si="295"/>
        <v>17.631158810222679</v>
      </c>
      <c r="AK556">
        <f t="shared" si="292"/>
        <v>87.866021718740825</v>
      </c>
      <c r="AM556">
        <f t="shared" si="293"/>
        <v>87.866021718740825</v>
      </c>
    </row>
    <row r="557" spans="22:39">
      <c r="V557">
        <f>K337</f>
        <v>2540</v>
      </c>
      <c r="W557" s="26">
        <f t="shared" si="296"/>
        <v>17.51524987727365</v>
      </c>
      <c r="Y557">
        <f t="shared" si="294"/>
        <v>2540</v>
      </c>
      <c r="Z557">
        <f t="shared" si="295"/>
        <v>17.51524987727365</v>
      </c>
      <c r="AK557">
        <f t="shared" si="292"/>
        <v>87.288727227413588</v>
      </c>
      <c r="AM557">
        <f t="shared" si="293"/>
        <v>87.288727227413588</v>
      </c>
    </row>
    <row r="558" spans="22:39">
      <c r="V558">
        <f>K338</f>
        <v>2545</v>
      </c>
      <c r="W558" s="26">
        <f t="shared" si="296"/>
        <v>17.400241013691787</v>
      </c>
      <c r="Y558">
        <f t="shared" si="294"/>
        <v>2545</v>
      </c>
      <c r="Z558">
        <f t="shared" si="295"/>
        <v>17.400241013691787</v>
      </c>
      <c r="AK558">
        <f t="shared" si="292"/>
        <v>86.715683063653515</v>
      </c>
      <c r="AM558">
        <f t="shared" si="293"/>
        <v>86.715683063653515</v>
      </c>
    </row>
    <row r="559" spans="22:39">
      <c r="V559">
        <f>K339</f>
        <v>2550</v>
      </c>
      <c r="W559" s="26">
        <f t="shared" si="296"/>
        <v>17.286032211769616</v>
      </c>
      <c r="Y559">
        <f t="shared" si="294"/>
        <v>2550</v>
      </c>
      <c r="Z559">
        <f t="shared" si="295"/>
        <v>17.286032211769616</v>
      </c>
      <c r="AK559">
        <f t="shared" si="292"/>
        <v>86.146639208191914</v>
      </c>
      <c r="AM559">
        <f t="shared" si="293"/>
        <v>86.146639208191914</v>
      </c>
    </row>
    <row r="560" spans="22:39">
      <c r="V560">
        <f>K340</f>
        <v>2555</v>
      </c>
      <c r="W560" s="26">
        <f t="shared" si="296"/>
        <v>17.172623471507151</v>
      </c>
      <c r="Y560">
        <f t="shared" si="294"/>
        <v>2555</v>
      </c>
      <c r="Z560">
        <f t="shared" si="295"/>
        <v>17.172623471507151</v>
      </c>
      <c r="AK560">
        <f t="shared" si="292"/>
        <v>85.581595661028842</v>
      </c>
      <c r="AM560">
        <f t="shared" si="293"/>
        <v>85.581595661028842</v>
      </c>
    </row>
    <row r="561" spans="22:39">
      <c r="V561">
        <f>K341</f>
        <v>2560</v>
      </c>
      <c r="W561" s="26">
        <f t="shared" si="296"/>
        <v>17.060014792904383</v>
      </c>
      <c r="Y561">
        <f t="shared" si="294"/>
        <v>2560</v>
      </c>
      <c r="Z561">
        <f t="shared" si="295"/>
        <v>17.060014792904383</v>
      </c>
      <c r="AK561">
        <f t="shared" si="292"/>
        <v>85.020802441432892</v>
      </c>
      <c r="AM561">
        <f t="shared" si="293"/>
        <v>85.020802441432892</v>
      </c>
    </row>
    <row r="562" spans="22:39">
      <c r="V562">
        <f>K342</f>
        <v>2565</v>
      </c>
      <c r="W562" s="26">
        <f t="shared" si="296"/>
        <v>16.948306183668773</v>
      </c>
      <c r="Y562">
        <f t="shared" si="294"/>
        <v>2565</v>
      </c>
      <c r="Z562">
        <f t="shared" si="295"/>
        <v>16.948306183668773</v>
      </c>
      <c r="AK562">
        <f t="shared" si="292"/>
        <v>84.46425954940409</v>
      </c>
      <c r="AM562">
        <f t="shared" si="293"/>
        <v>84.46425954940409</v>
      </c>
    </row>
    <row r="563" spans="22:39">
      <c r="V563">
        <f>K343</f>
        <v>2570</v>
      </c>
      <c r="W563" s="26">
        <f t="shared" si="296"/>
        <v>16.837397636092867</v>
      </c>
      <c r="Y563">
        <f t="shared" si="294"/>
        <v>2570</v>
      </c>
      <c r="Z563">
        <f t="shared" si="295"/>
        <v>16.837397636092867</v>
      </c>
      <c r="AK563">
        <f t="shared" si="292"/>
        <v>83.91146694640517</v>
      </c>
      <c r="AM563">
        <f t="shared" si="293"/>
        <v>83.91146694640517</v>
      </c>
    </row>
    <row r="564" spans="22:39">
      <c r="V564">
        <f>K344</f>
        <v>2575</v>
      </c>
      <c r="W564" s="26">
        <f t="shared" si="296"/>
        <v>16.7271891424692</v>
      </c>
      <c r="Y564">
        <f t="shared" si="294"/>
        <v>2575</v>
      </c>
      <c r="Z564">
        <f t="shared" si="295"/>
        <v>16.7271891424692</v>
      </c>
      <c r="AK564">
        <f t="shared" si="292"/>
        <v>83.362674651704737</v>
      </c>
      <c r="AM564">
        <f t="shared" si="293"/>
        <v>83.362674651704737</v>
      </c>
    </row>
    <row r="565" spans="22:39">
      <c r="V565">
        <f>K345</f>
        <v>2580</v>
      </c>
      <c r="W565" s="26">
        <f t="shared" si="296"/>
        <v>16.617880718212696</v>
      </c>
      <c r="Y565">
        <f t="shared" si="294"/>
        <v>2580</v>
      </c>
      <c r="Z565">
        <f t="shared" si="295"/>
        <v>16.617880718212696</v>
      </c>
      <c r="AK565">
        <f t="shared" si="292"/>
        <v>82.818132684571452</v>
      </c>
      <c r="AM565">
        <f t="shared" si="293"/>
        <v>82.818132684571452</v>
      </c>
    </row>
    <row r="566" spans="22:39">
      <c r="V566">
        <f>K346</f>
        <v>2585</v>
      </c>
      <c r="W566" s="26">
        <f t="shared" si="296"/>
        <v>16.509372355615891</v>
      </c>
      <c r="Y566">
        <f t="shared" si="294"/>
        <v>2585</v>
      </c>
      <c r="Z566">
        <f t="shared" si="295"/>
        <v>16.509372355615891</v>
      </c>
      <c r="AK566">
        <f t="shared" si="292"/>
        <v>82.277341006468021</v>
      </c>
      <c r="AM566">
        <f t="shared" si="293"/>
        <v>82.277341006468021</v>
      </c>
    </row>
    <row r="567" spans="22:39">
      <c r="V567">
        <f>K347</f>
        <v>2590</v>
      </c>
      <c r="W567" s="26">
        <f t="shared" si="296"/>
        <v>16.401564046971323</v>
      </c>
      <c r="Y567">
        <f t="shared" si="294"/>
        <v>2590</v>
      </c>
      <c r="Z567">
        <f t="shared" si="295"/>
        <v>16.401564046971323</v>
      </c>
      <c r="AK567">
        <f t="shared" si="292"/>
        <v>81.74054963666309</v>
      </c>
      <c r="AM567">
        <f t="shared" si="293"/>
        <v>81.74054963666309</v>
      </c>
    </row>
    <row r="568" spans="22:39">
      <c r="V568">
        <f>K348</f>
        <v>2595</v>
      </c>
      <c r="W568" s="26">
        <f t="shared" si="296"/>
        <v>16.294655807693914</v>
      </c>
      <c r="Y568">
        <f t="shared" si="294"/>
        <v>2595</v>
      </c>
      <c r="Z568">
        <f t="shared" si="295"/>
        <v>16.294655807693914</v>
      </c>
      <c r="AK568">
        <f t="shared" si="292"/>
        <v>81.20775857515666</v>
      </c>
      <c r="AM568">
        <f t="shared" si="293"/>
        <v>81.20775857515666</v>
      </c>
    </row>
    <row r="569" spans="22:39">
      <c r="V569">
        <f>K349</f>
        <v>2600</v>
      </c>
      <c r="W569" s="26">
        <f t="shared" si="296"/>
        <v>16.188447622368749</v>
      </c>
      <c r="Y569">
        <f t="shared" si="294"/>
        <v>2600</v>
      </c>
      <c r="Z569">
        <f t="shared" si="295"/>
        <v>16.188447622368749</v>
      </c>
      <c r="AK569">
        <f t="shared" si="292"/>
        <v>80.678467783411421</v>
      </c>
      <c r="AM569">
        <f t="shared" si="293"/>
        <v>80.678467783411421</v>
      </c>
    </row>
    <row r="570" spans="22:39">
      <c r="V570">
        <f>K350</f>
        <v>2605</v>
      </c>
      <c r="W570" s="26">
        <f t="shared" si="296"/>
        <v>16.08293949099582</v>
      </c>
      <c r="Y570">
        <f t="shared" si="294"/>
        <v>2605</v>
      </c>
      <c r="Z570">
        <f t="shared" si="295"/>
        <v>16.08293949099582</v>
      </c>
      <c r="AK570">
        <f t="shared" si="292"/>
        <v>80.150677107278113</v>
      </c>
      <c r="AM570">
        <f t="shared" si="293"/>
        <v>80.150677107278113</v>
      </c>
    </row>
    <row r="571" spans="22:39">
      <c r="V571">
        <f>K351</f>
        <v>2610</v>
      </c>
      <c r="W571" s="26">
        <f t="shared" si="296"/>
        <v>15.977331351915424</v>
      </c>
      <c r="Y571">
        <f t="shared" si="294"/>
        <v>2610</v>
      </c>
      <c r="Z571">
        <f t="shared" si="295"/>
        <v>15.977331351915424</v>
      </c>
      <c r="AK571">
        <f t="shared" si="292"/>
        <v>79.624636566025387</v>
      </c>
      <c r="AM571">
        <f t="shared" si="293"/>
        <v>79.624636566025387</v>
      </c>
    </row>
    <row r="572" spans="22:39">
      <c r="V572">
        <f>K352</f>
        <v>2615</v>
      </c>
      <c r="W572" s="26">
        <f t="shared" si="296"/>
        <v>15.872523274494732</v>
      </c>
      <c r="Y572">
        <f t="shared" si="294"/>
        <v>2615</v>
      </c>
      <c r="Z572">
        <f t="shared" si="295"/>
        <v>15.872523274494732</v>
      </c>
      <c r="AK572">
        <f t="shared" si="292"/>
        <v>79.102346313802514</v>
      </c>
      <c r="AM572">
        <f t="shared" si="293"/>
        <v>79.102346313802514</v>
      </c>
    </row>
    <row r="573" spans="22:39">
      <c r="V573">
        <f>K353</f>
        <v>2620</v>
      </c>
      <c r="W573" s="26">
        <f t="shared" si="296"/>
        <v>15.768415251026278</v>
      </c>
      <c r="Y573">
        <f t="shared" si="294"/>
        <v>2620</v>
      </c>
      <c r="Z573">
        <f t="shared" si="295"/>
        <v>15.768415251026278</v>
      </c>
      <c r="AK573">
        <f t="shared" si="292"/>
        <v>78.583806350609507</v>
      </c>
      <c r="AM573">
        <f t="shared" si="293"/>
        <v>78.583806350609507</v>
      </c>
    </row>
    <row r="574" spans="22:39">
      <c r="V574">
        <f>K354</f>
        <v>2625</v>
      </c>
      <c r="W574" s="26">
        <f t="shared" si="296"/>
        <v>15.66510728921752</v>
      </c>
      <c r="Y574">
        <f t="shared" si="294"/>
        <v>2625</v>
      </c>
      <c r="Z574">
        <f t="shared" si="295"/>
        <v>15.66510728921752</v>
      </c>
      <c r="AK574">
        <f t="shared" si="292"/>
        <v>78.069016676446296</v>
      </c>
      <c r="AM574">
        <f t="shared" si="293"/>
        <v>78.069016676446296</v>
      </c>
    </row>
    <row r="575" spans="22:39">
      <c r="V575">
        <f>K355</f>
        <v>2630</v>
      </c>
      <c r="W575" s="26">
        <f t="shared" si="296"/>
        <v>15.562499381361</v>
      </c>
      <c r="Y575">
        <f t="shared" si="294"/>
        <v>2630</v>
      </c>
      <c r="Z575">
        <f t="shared" si="295"/>
        <v>15.562499381361</v>
      </c>
      <c r="AK575">
        <f t="shared" si="292"/>
        <v>77.557977291312966</v>
      </c>
      <c r="AM575">
        <f t="shared" si="293"/>
        <v>77.557977291312966</v>
      </c>
    </row>
    <row r="576" spans="22:39">
      <c r="V576">
        <f>K356</f>
        <v>2635</v>
      </c>
      <c r="W576" s="26">
        <f t="shared" si="296"/>
        <v>15.460691535164184</v>
      </c>
      <c r="Y576">
        <f t="shared" si="294"/>
        <v>2635</v>
      </c>
      <c r="Z576">
        <f t="shared" si="295"/>
        <v>15.460691535164184</v>
      </c>
      <c r="AK576">
        <f t="shared" si="292"/>
        <v>77.05068819520946</v>
      </c>
      <c r="AM576">
        <f t="shared" si="293"/>
        <v>77.05068819520946</v>
      </c>
    </row>
    <row r="577" spans="22:39">
      <c r="V577">
        <f>K357</f>
        <v>2640</v>
      </c>
      <c r="W577" s="26">
        <f t="shared" si="296"/>
        <v>15.359583742919602</v>
      </c>
      <c r="Y577">
        <f t="shared" si="294"/>
        <v>2640</v>
      </c>
      <c r="Z577">
        <f t="shared" si="295"/>
        <v>15.359583742919602</v>
      </c>
      <c r="AK577">
        <f t="shared" si="292"/>
        <v>76.546899368867145</v>
      </c>
      <c r="AM577">
        <f t="shared" si="293"/>
        <v>76.546899368867145</v>
      </c>
    </row>
    <row r="578" spans="22:39">
      <c r="V578">
        <f>K358</f>
        <v>2645</v>
      </c>
      <c r="W578" s="26">
        <f t="shared" si="296"/>
        <v>15.259176004627259</v>
      </c>
      <c r="Y578">
        <f t="shared" si="294"/>
        <v>2645</v>
      </c>
      <c r="Z578">
        <f t="shared" si="295"/>
        <v>15.259176004627259</v>
      </c>
      <c r="AK578">
        <f t="shared" si="292"/>
        <v>76.046610812286019</v>
      </c>
      <c r="AM578">
        <f t="shared" si="293"/>
        <v>76.046610812286019</v>
      </c>
    </row>
    <row r="579" spans="22:39">
      <c r="V579">
        <f>K359</f>
        <v>2650</v>
      </c>
      <c r="W579" s="26">
        <f t="shared" si="296"/>
        <v>15.159468320287152</v>
      </c>
      <c r="Y579">
        <f t="shared" si="294"/>
        <v>2650</v>
      </c>
      <c r="Z579">
        <f t="shared" si="295"/>
        <v>15.159468320287152</v>
      </c>
      <c r="AK579">
        <f t="shared" si="292"/>
        <v>75.550072544734746</v>
      </c>
      <c r="AM579">
        <f t="shared" si="293"/>
        <v>75.550072544734746</v>
      </c>
    </row>
    <row r="580" spans="22:39">
      <c r="V580">
        <f>K360</f>
        <v>2655</v>
      </c>
      <c r="W580" s="26">
        <f t="shared" si="296"/>
        <v>15.060560697606748</v>
      </c>
      <c r="Y580">
        <f t="shared" si="294"/>
        <v>2655</v>
      </c>
      <c r="Z580">
        <f t="shared" si="295"/>
        <v>15.060560697606748</v>
      </c>
      <c r="AK580">
        <f t="shared" si="292"/>
        <v>75.057284566213326</v>
      </c>
      <c r="AM580">
        <f t="shared" si="293"/>
        <v>75.057284566213326</v>
      </c>
    </row>
    <row r="581" spans="22:39">
      <c r="V581">
        <f>K361</f>
        <v>2660</v>
      </c>
      <c r="W581" s="26">
        <f t="shared" si="296"/>
        <v>14.962353128878579</v>
      </c>
      <c r="Y581">
        <f t="shared" si="294"/>
        <v>2660</v>
      </c>
      <c r="Z581">
        <f t="shared" si="295"/>
        <v>14.962353128878579</v>
      </c>
      <c r="AK581">
        <f t="shared" si="292"/>
        <v>74.567746838184405</v>
      </c>
      <c r="AM581">
        <f t="shared" si="293"/>
        <v>74.567746838184405</v>
      </c>
    </row>
    <row r="582" spans="22:39">
      <c r="V582">
        <f>K362</f>
        <v>2665</v>
      </c>
      <c r="W582" s="26">
        <f t="shared" si="296"/>
        <v>14.864745606395184</v>
      </c>
      <c r="Y582">
        <f t="shared" si="294"/>
        <v>2665</v>
      </c>
      <c r="Z582">
        <f t="shared" si="295"/>
        <v>14.864745606395184</v>
      </c>
      <c r="AK582">
        <f t="shared" si="292"/>
        <v>74.081709379916688</v>
      </c>
      <c r="AM582">
        <f t="shared" si="293"/>
        <v>74.081709379916688</v>
      </c>
    </row>
    <row r="583" spans="22:39">
      <c r="V583">
        <f>K363</f>
        <v>2670</v>
      </c>
      <c r="W583" s="26">
        <f t="shared" si="296"/>
        <v>14.76793814557149</v>
      </c>
      <c r="Y583">
        <f t="shared" si="294"/>
        <v>2670</v>
      </c>
      <c r="Z583">
        <f t="shared" si="295"/>
        <v>14.76793814557149</v>
      </c>
      <c r="AK583">
        <f t="shared" si="292"/>
        <v>73.59942221067881</v>
      </c>
      <c r="AM583">
        <f t="shared" si="293"/>
        <v>73.59942221067881</v>
      </c>
    </row>
    <row r="584" spans="22:39">
      <c r="V584">
        <f>K364</f>
        <v>2675</v>
      </c>
      <c r="W584" s="26">
        <f t="shared" si="296"/>
        <v>14.671830738700034</v>
      </c>
      <c r="Y584">
        <f t="shared" si="294"/>
        <v>2675</v>
      </c>
      <c r="Z584">
        <f t="shared" si="295"/>
        <v>14.671830738700034</v>
      </c>
      <c r="AK584">
        <f t="shared" si="292"/>
        <v>73.120635311202136</v>
      </c>
      <c r="AM584">
        <f t="shared" si="293"/>
        <v>73.120635311202136</v>
      </c>
    </row>
    <row r="585" spans="22:39">
      <c r="V585">
        <f>K365</f>
        <v>2680</v>
      </c>
      <c r="W585" s="26">
        <f t="shared" si="296"/>
        <v>14.576423385780817</v>
      </c>
      <c r="Y585">
        <f t="shared" si="294"/>
        <v>2680</v>
      </c>
      <c r="Z585">
        <f t="shared" si="295"/>
        <v>14.576423385780817</v>
      </c>
      <c r="AK585">
        <f t="shared" si="292"/>
        <v>72.645098662217976</v>
      </c>
      <c r="AM585">
        <f t="shared" si="293"/>
        <v>72.645098662217976</v>
      </c>
    </row>
    <row r="586" spans="22:39">
      <c r="V586">
        <f>K366</f>
        <v>2685</v>
      </c>
      <c r="W586" s="26">
        <f t="shared" si="296"/>
        <v>14.481616079106374</v>
      </c>
      <c r="Y586">
        <f t="shared" si="294"/>
        <v>2685</v>
      </c>
      <c r="Z586">
        <f t="shared" si="295"/>
        <v>14.481616079106374</v>
      </c>
      <c r="AK586">
        <f t="shared" si="292"/>
        <v>72.173062282995005</v>
      </c>
      <c r="AM586">
        <f t="shared" si="293"/>
        <v>72.173062282995005</v>
      </c>
    </row>
    <row r="587" spans="22:39">
      <c r="V587">
        <f>K367</f>
        <v>2690</v>
      </c>
      <c r="W587" s="26">
        <f t="shared" si="296"/>
        <v>14.38760883409163</v>
      </c>
      <c r="Y587">
        <f t="shared" si="294"/>
        <v>2690</v>
      </c>
      <c r="Z587">
        <f t="shared" si="295"/>
        <v>14.38760883409163</v>
      </c>
      <c r="AK587">
        <f t="shared" si="292"/>
        <v>71.704526173533225</v>
      </c>
      <c r="AM587">
        <f t="shared" si="293"/>
        <v>71.704526173533225</v>
      </c>
    </row>
    <row r="588" spans="22:39">
      <c r="V588">
        <f>K368</f>
        <v>2695</v>
      </c>
      <c r="W588" s="26">
        <f t="shared" si="296"/>
        <v>14.294201635321659</v>
      </c>
      <c r="Y588">
        <f t="shared" si="294"/>
        <v>2695</v>
      </c>
      <c r="Z588">
        <f t="shared" si="295"/>
        <v>14.294201635321659</v>
      </c>
      <c r="AK588">
        <f t="shared" si="292"/>
        <v>71.239240314563972</v>
      </c>
      <c r="AM588">
        <f t="shared" si="293"/>
        <v>71.239240314563972</v>
      </c>
    </row>
    <row r="589" spans="22:39">
      <c r="V589">
        <f>K369</f>
        <v>2700</v>
      </c>
      <c r="W589" s="26">
        <f t="shared" si="296"/>
        <v>14.201494490503929</v>
      </c>
      <c r="Y589">
        <f t="shared" si="294"/>
        <v>2700</v>
      </c>
      <c r="Z589">
        <f t="shared" si="295"/>
        <v>14.201494490503929</v>
      </c>
      <c r="AK589">
        <f t="shared" ref="AK589:AK648" si="297">0.5*(V590-V589)*(W589+W590)</f>
        <v>70.777204706087247</v>
      </c>
      <c r="AM589">
        <f t="shared" ref="AM589:AM647" si="298">0.5*(V590-V589)*(W589+W590)</f>
        <v>70.777204706087247</v>
      </c>
    </row>
    <row r="590" spans="22:39">
      <c r="V590">
        <f>K370</f>
        <v>2705</v>
      </c>
      <c r="W590" s="26">
        <f t="shared" si="296"/>
        <v>14.109387391930969</v>
      </c>
      <c r="Y590">
        <f t="shared" ref="Y590:Y649" si="299">V590</f>
        <v>2705</v>
      </c>
      <c r="Z590">
        <f t="shared" ref="Z590:Z649" si="300">W590</f>
        <v>14.109387391930969</v>
      </c>
      <c r="AK590">
        <f t="shared" si="297"/>
        <v>70.318419348103049</v>
      </c>
      <c r="AM590">
        <f t="shared" si="298"/>
        <v>70.318419348103049</v>
      </c>
    </row>
    <row r="591" spans="22:39">
      <c r="V591">
        <f>K371</f>
        <v>2710</v>
      </c>
      <c r="W591" s="26">
        <f t="shared" ref="W591:W649" si="301">IF(L370=0,0,L370/$T$51)</f>
        <v>14.017980347310251</v>
      </c>
      <c r="Y591">
        <f t="shared" si="299"/>
        <v>2710</v>
      </c>
      <c r="Z591">
        <f t="shared" si="300"/>
        <v>14.017980347310251</v>
      </c>
      <c r="AK591">
        <f t="shared" si="297"/>
        <v>69.862884240611393</v>
      </c>
      <c r="AM591">
        <f t="shared" si="298"/>
        <v>69.862884240611393</v>
      </c>
    </row>
    <row r="592" spans="22:39">
      <c r="V592">
        <f>K372</f>
        <v>2715</v>
      </c>
      <c r="W592" s="26">
        <f t="shared" si="301"/>
        <v>13.927173348934305</v>
      </c>
      <c r="Y592">
        <f t="shared" si="299"/>
        <v>2715</v>
      </c>
      <c r="Z592">
        <f t="shared" si="300"/>
        <v>13.927173348934305</v>
      </c>
      <c r="AK592">
        <f t="shared" si="297"/>
        <v>69.410849402880928</v>
      </c>
      <c r="AM592">
        <f t="shared" si="298"/>
        <v>69.410849402880928</v>
      </c>
    </row>
    <row r="593" spans="22:39">
      <c r="V593">
        <f>K373</f>
        <v>2720</v>
      </c>
      <c r="W593" s="26">
        <f t="shared" si="301"/>
        <v>13.837166412218066</v>
      </c>
      <c r="Y593">
        <f t="shared" si="299"/>
        <v>2720</v>
      </c>
      <c r="Z593">
        <f t="shared" si="300"/>
        <v>13.837166412218066</v>
      </c>
      <c r="AK593">
        <f t="shared" si="297"/>
        <v>68.962064815642989</v>
      </c>
      <c r="AM593">
        <f t="shared" si="298"/>
        <v>68.962064815642989</v>
      </c>
    </row>
    <row r="594" spans="22:39">
      <c r="V594">
        <f>K374</f>
        <v>2725</v>
      </c>
      <c r="W594" s="26">
        <f t="shared" si="301"/>
        <v>13.747659514039132</v>
      </c>
      <c r="Y594">
        <f t="shared" si="299"/>
        <v>2725</v>
      </c>
      <c r="Z594">
        <f t="shared" si="300"/>
        <v>13.747659514039132</v>
      </c>
      <c r="AK594">
        <f t="shared" si="297"/>
        <v>68.516280459628916</v>
      </c>
      <c r="AM594">
        <f t="shared" si="298"/>
        <v>68.516280459628916</v>
      </c>
    </row>
    <row r="595" spans="22:39">
      <c r="V595">
        <f>K375</f>
        <v>2730</v>
      </c>
      <c r="W595" s="26">
        <f t="shared" si="301"/>
        <v>13.658852669812438</v>
      </c>
      <c r="Y595">
        <f t="shared" si="299"/>
        <v>2730</v>
      </c>
      <c r="Z595">
        <f t="shared" si="300"/>
        <v>13.658852669812438</v>
      </c>
      <c r="AK595">
        <f t="shared" si="297"/>
        <v>68.073746354107385</v>
      </c>
      <c r="AM595">
        <f t="shared" si="298"/>
        <v>68.073746354107385</v>
      </c>
    </row>
    <row r="596" spans="22:39">
      <c r="V596">
        <f>K376</f>
        <v>2735</v>
      </c>
      <c r="W596" s="26">
        <f t="shared" si="301"/>
        <v>13.570645871830518</v>
      </c>
      <c r="Y596">
        <f t="shared" si="299"/>
        <v>2735</v>
      </c>
      <c r="Z596">
        <f t="shared" si="300"/>
        <v>13.570645871830518</v>
      </c>
      <c r="AK596">
        <f t="shared" si="297"/>
        <v>67.634212479809733</v>
      </c>
      <c r="AM596">
        <f t="shared" si="298"/>
        <v>67.634212479809733</v>
      </c>
    </row>
    <row r="597" spans="22:39">
      <c r="V597">
        <f>K377</f>
        <v>2740</v>
      </c>
      <c r="W597" s="26">
        <f t="shared" si="301"/>
        <v>13.483039120093375</v>
      </c>
      <c r="Y597">
        <f t="shared" si="299"/>
        <v>2740</v>
      </c>
      <c r="Z597">
        <f t="shared" si="300"/>
        <v>13.483039120093375</v>
      </c>
      <c r="AK597">
        <f t="shared" si="297"/>
        <v>67.197928856004609</v>
      </c>
      <c r="AM597">
        <f t="shared" si="298"/>
        <v>67.197928856004609</v>
      </c>
    </row>
    <row r="598" spans="22:39">
      <c r="V598">
        <f>K378</f>
        <v>2745</v>
      </c>
      <c r="W598" s="26">
        <f t="shared" si="301"/>
        <v>13.396132422308469</v>
      </c>
      <c r="Y598">
        <f t="shared" si="299"/>
        <v>2745</v>
      </c>
      <c r="Z598">
        <f t="shared" si="300"/>
        <v>13.396132422308469</v>
      </c>
      <c r="AK598">
        <f t="shared" si="297"/>
        <v>66.76514550196066</v>
      </c>
      <c r="AM598">
        <f t="shared" si="298"/>
        <v>66.76514550196066</v>
      </c>
    </row>
    <row r="599" spans="22:39">
      <c r="V599">
        <f>K379</f>
        <v>2750</v>
      </c>
      <c r="W599" s="26">
        <f t="shared" si="301"/>
        <v>13.309925778475797</v>
      </c>
      <c r="Y599">
        <f t="shared" si="299"/>
        <v>2750</v>
      </c>
      <c r="Z599">
        <f t="shared" si="300"/>
        <v>13.309925778475797</v>
      </c>
      <c r="AK599">
        <f t="shared" si="297"/>
        <v>66.335362379140591</v>
      </c>
      <c r="AM599">
        <f t="shared" si="298"/>
        <v>66.335362379140591</v>
      </c>
    </row>
    <row r="600" spans="22:39">
      <c r="V600">
        <f>K380</f>
        <v>2755</v>
      </c>
      <c r="W600" s="26">
        <f t="shared" si="301"/>
        <v>13.22421917318044</v>
      </c>
      <c r="Y600">
        <f t="shared" si="299"/>
        <v>2755</v>
      </c>
      <c r="Z600">
        <f t="shared" si="300"/>
        <v>13.22421917318044</v>
      </c>
      <c r="AK600">
        <f t="shared" si="297"/>
        <v>65.908329468275753</v>
      </c>
      <c r="AM600">
        <f t="shared" si="298"/>
        <v>65.908329468275753</v>
      </c>
    </row>
    <row r="601" spans="22:39">
      <c r="V601">
        <f>K381</f>
        <v>2760</v>
      </c>
      <c r="W601" s="26">
        <f t="shared" si="301"/>
        <v>13.139112614129859</v>
      </c>
      <c r="Y601">
        <f t="shared" si="299"/>
        <v>2760</v>
      </c>
      <c r="Z601">
        <f t="shared" si="300"/>
        <v>13.139112614129859</v>
      </c>
      <c r="AK601">
        <f t="shared" si="297"/>
        <v>65.484046769366117</v>
      </c>
      <c r="AM601">
        <f t="shared" si="298"/>
        <v>65.484046769366117</v>
      </c>
    </row>
    <row r="602" spans="22:39">
      <c r="V602">
        <f>K382</f>
        <v>2765</v>
      </c>
      <c r="W602" s="26">
        <f t="shared" si="301"/>
        <v>13.054506093616588</v>
      </c>
      <c r="Y602">
        <f t="shared" si="299"/>
        <v>2765</v>
      </c>
      <c r="Z602">
        <f t="shared" si="300"/>
        <v>13.054506093616588</v>
      </c>
      <c r="AK602">
        <f t="shared" si="297"/>
        <v>65.063014320949023</v>
      </c>
      <c r="AM602">
        <f t="shared" si="298"/>
        <v>65.063014320949023</v>
      </c>
    </row>
    <row r="603" spans="22:39">
      <c r="V603">
        <f>K383</f>
        <v>2770</v>
      </c>
      <c r="W603" s="26">
        <f t="shared" si="301"/>
        <v>12.970699634763021</v>
      </c>
      <c r="Y603">
        <f t="shared" si="299"/>
        <v>2770</v>
      </c>
      <c r="Z603">
        <f t="shared" si="300"/>
        <v>12.970699634763021</v>
      </c>
      <c r="AK603">
        <f t="shared" si="297"/>
        <v>64.645232123024471</v>
      </c>
      <c r="AM603">
        <f t="shared" si="298"/>
        <v>64.645232123024471</v>
      </c>
    </row>
    <row r="604" spans="22:39">
      <c r="V604">
        <f>K384</f>
        <v>2775</v>
      </c>
      <c r="W604" s="26">
        <f t="shared" si="301"/>
        <v>12.887393214446766</v>
      </c>
      <c r="Y604">
        <f t="shared" si="299"/>
        <v>2775</v>
      </c>
      <c r="Z604">
        <f t="shared" si="300"/>
        <v>12.887393214446766</v>
      </c>
      <c r="AK604">
        <f t="shared" si="297"/>
        <v>64.230200137055121</v>
      </c>
      <c r="AM604">
        <f t="shared" si="298"/>
        <v>64.230200137055121</v>
      </c>
    </row>
    <row r="605" spans="22:39">
      <c r="V605">
        <f>K385</f>
        <v>2780</v>
      </c>
      <c r="W605" s="26">
        <f t="shared" si="301"/>
        <v>12.804686840375281</v>
      </c>
      <c r="Y605">
        <f t="shared" si="299"/>
        <v>2780</v>
      </c>
      <c r="Z605">
        <f t="shared" si="300"/>
        <v>12.804686840375281</v>
      </c>
      <c r="AK605">
        <f t="shared" si="297"/>
        <v>63.818168382309644</v>
      </c>
      <c r="AM605">
        <f t="shared" si="298"/>
        <v>63.818168382309644</v>
      </c>
    </row>
    <row r="606" spans="22:39">
      <c r="V606">
        <f>K386</f>
        <v>2785</v>
      </c>
      <c r="W606" s="26">
        <f t="shared" si="301"/>
        <v>12.722580512548575</v>
      </c>
      <c r="Y606">
        <f t="shared" si="299"/>
        <v>2785</v>
      </c>
      <c r="Z606">
        <f t="shared" si="300"/>
        <v>12.722580512548575</v>
      </c>
      <c r="AK606">
        <f t="shared" si="297"/>
        <v>63.408886839519383</v>
      </c>
      <c r="AM606">
        <f t="shared" si="298"/>
        <v>63.408886839519383</v>
      </c>
    </row>
    <row r="607" spans="22:39">
      <c r="V607">
        <f>K387</f>
        <v>2790</v>
      </c>
      <c r="W607" s="26">
        <f t="shared" si="301"/>
        <v>12.64097422325918</v>
      </c>
      <c r="Y607">
        <f t="shared" si="299"/>
        <v>2790</v>
      </c>
      <c r="Z607">
        <f t="shared" si="300"/>
        <v>12.64097422325918</v>
      </c>
      <c r="AK607">
        <f t="shared" si="297"/>
        <v>63.002605527953008</v>
      </c>
      <c r="AM607">
        <f t="shared" si="298"/>
        <v>63.002605527953008</v>
      </c>
    </row>
    <row r="608" spans="22:39">
      <c r="V608">
        <f>K388</f>
        <v>2795</v>
      </c>
      <c r="W608" s="26">
        <f t="shared" si="301"/>
        <v>12.560067987922025</v>
      </c>
      <c r="Y608">
        <f t="shared" si="299"/>
        <v>2795</v>
      </c>
      <c r="Z608">
        <f t="shared" si="300"/>
        <v>12.560067987922025</v>
      </c>
      <c r="AK608">
        <f t="shared" si="297"/>
        <v>62.599324447610499</v>
      </c>
      <c r="AM608">
        <f t="shared" si="298"/>
        <v>62.599324447610499</v>
      </c>
    </row>
    <row r="609" spans="22:39">
      <c r="V609">
        <f>K389</f>
        <v>2800</v>
      </c>
      <c r="W609" s="26">
        <f t="shared" si="301"/>
        <v>12.479661791122176</v>
      </c>
      <c r="Y609">
        <f t="shared" si="299"/>
        <v>2800</v>
      </c>
      <c r="Z609">
        <f t="shared" si="300"/>
        <v>12.479661791122176</v>
      </c>
      <c r="AK609">
        <f t="shared" si="297"/>
        <v>62.198793579223199</v>
      </c>
      <c r="AM609">
        <f t="shared" si="298"/>
        <v>62.198793579223199</v>
      </c>
    </row>
    <row r="610" spans="22:39">
      <c r="V610">
        <f>K390</f>
        <v>2805</v>
      </c>
      <c r="W610" s="26">
        <f t="shared" si="301"/>
        <v>12.399855640567104</v>
      </c>
      <c r="Y610">
        <f t="shared" si="299"/>
        <v>2805</v>
      </c>
      <c r="Z610">
        <f t="shared" si="300"/>
        <v>12.399855640567104</v>
      </c>
      <c r="AK610">
        <f t="shared" si="297"/>
        <v>61.80601330816426</v>
      </c>
      <c r="AM610">
        <f t="shared" si="298"/>
        <v>61.80601330816426</v>
      </c>
    </row>
    <row r="611" spans="22:39">
      <c r="V611">
        <f>K391</f>
        <v>2810</v>
      </c>
      <c r="W611" s="26">
        <f t="shared" si="301"/>
        <v>12.322549682698599</v>
      </c>
      <c r="Y611">
        <f t="shared" si="299"/>
        <v>2810</v>
      </c>
      <c r="Z611">
        <f t="shared" si="300"/>
        <v>12.322549682698599</v>
      </c>
      <c r="AK611">
        <f t="shared" si="297"/>
        <v>61.420733615165005</v>
      </c>
      <c r="AM611">
        <f t="shared" si="298"/>
        <v>61.420733615165005</v>
      </c>
    </row>
    <row r="612" spans="22:39">
      <c r="V612">
        <f>K392</f>
        <v>2815</v>
      </c>
      <c r="W612" s="26">
        <f t="shared" si="301"/>
        <v>12.245743763367402</v>
      </c>
      <c r="Y612">
        <f t="shared" si="299"/>
        <v>2815</v>
      </c>
      <c r="Z612">
        <f t="shared" si="300"/>
        <v>12.245743763367402</v>
      </c>
      <c r="AK612">
        <f t="shared" si="297"/>
        <v>61.037954114852312</v>
      </c>
      <c r="AM612">
        <f t="shared" si="298"/>
        <v>61.037954114852312</v>
      </c>
    </row>
    <row r="613" spans="22:39">
      <c r="V613">
        <f>K393</f>
        <v>2820</v>
      </c>
      <c r="W613" s="26">
        <f t="shared" si="301"/>
        <v>12.169437882573524</v>
      </c>
      <c r="Y613">
        <f t="shared" si="299"/>
        <v>2820</v>
      </c>
      <c r="Z613">
        <f t="shared" si="300"/>
        <v>12.169437882573524</v>
      </c>
      <c r="AK613">
        <f t="shared" si="297"/>
        <v>60.657924826494849</v>
      </c>
      <c r="AM613">
        <f t="shared" si="298"/>
        <v>60.657924826494849</v>
      </c>
    </row>
    <row r="614" spans="22:39">
      <c r="V614">
        <f>K394</f>
        <v>2825</v>
      </c>
      <c r="W614" s="26">
        <f t="shared" si="301"/>
        <v>12.093732048024414</v>
      </c>
      <c r="Y614">
        <f t="shared" si="299"/>
        <v>2825</v>
      </c>
      <c r="Z614">
        <f t="shared" si="300"/>
        <v>12.093732048024414</v>
      </c>
      <c r="AK614">
        <f t="shared" si="297"/>
        <v>60.280645750092589</v>
      </c>
      <c r="AM614">
        <f t="shared" si="298"/>
        <v>60.280645750092589</v>
      </c>
    </row>
    <row r="615" spans="22:39">
      <c r="V615">
        <f>K395</f>
        <v>2830</v>
      </c>
      <c r="W615" s="26">
        <f t="shared" si="301"/>
        <v>12.01852625201262</v>
      </c>
      <c r="Y615">
        <f t="shared" si="299"/>
        <v>2830</v>
      </c>
      <c r="Z615">
        <f t="shared" si="300"/>
        <v>12.01852625201262</v>
      </c>
      <c r="AK615">
        <f t="shared" si="297"/>
        <v>59.905866866376897</v>
      </c>
      <c r="AM615">
        <f t="shared" si="298"/>
        <v>59.905866866376897</v>
      </c>
    </row>
    <row r="616" spans="22:39">
      <c r="V616">
        <f>K396</f>
        <v>2835</v>
      </c>
      <c r="W616" s="26">
        <f t="shared" si="301"/>
        <v>11.943820494538135</v>
      </c>
      <c r="Y616">
        <f t="shared" si="299"/>
        <v>2835</v>
      </c>
      <c r="Z616">
        <f t="shared" si="300"/>
        <v>11.943820494538135</v>
      </c>
      <c r="AK616">
        <f t="shared" si="297"/>
        <v>59.533838194616408</v>
      </c>
      <c r="AM616">
        <f t="shared" si="298"/>
        <v>59.533838194616408</v>
      </c>
    </row>
    <row r="617" spans="22:39">
      <c r="V617">
        <f>K397</f>
        <v>2840</v>
      </c>
      <c r="W617" s="26">
        <f t="shared" si="301"/>
        <v>11.869714783308428</v>
      </c>
      <c r="Y617">
        <f t="shared" si="299"/>
        <v>2840</v>
      </c>
      <c r="Z617">
        <f t="shared" si="300"/>
        <v>11.869714783308428</v>
      </c>
      <c r="AK617">
        <f t="shared" si="297"/>
        <v>59.164309715542494</v>
      </c>
      <c r="AM617">
        <f t="shared" si="298"/>
        <v>59.164309715542494</v>
      </c>
    </row>
    <row r="618" spans="22:39">
      <c r="V618">
        <f>K398</f>
        <v>2845</v>
      </c>
      <c r="W618" s="26">
        <f t="shared" si="301"/>
        <v>11.79600910290857</v>
      </c>
      <c r="Y618">
        <f t="shared" si="299"/>
        <v>2845</v>
      </c>
      <c r="Z618">
        <f t="shared" si="300"/>
        <v>11.79600910290857</v>
      </c>
      <c r="AK618">
        <f t="shared" si="297"/>
        <v>58.797281429155142</v>
      </c>
      <c r="AM618">
        <f t="shared" si="298"/>
        <v>58.797281429155142</v>
      </c>
    </row>
    <row r="619" spans="22:39">
      <c r="V619">
        <f>K399</f>
        <v>2850</v>
      </c>
      <c r="W619" s="26">
        <f t="shared" si="301"/>
        <v>11.722903468753488</v>
      </c>
      <c r="Y619">
        <f t="shared" si="299"/>
        <v>2850</v>
      </c>
      <c r="Z619">
        <f t="shared" si="300"/>
        <v>11.722903468753488</v>
      </c>
      <c r="AK619">
        <f t="shared" si="297"/>
        <v>58.433003354723013</v>
      </c>
      <c r="AM619">
        <f t="shared" si="298"/>
        <v>58.433003354723013</v>
      </c>
    </row>
    <row r="620" spans="22:39">
      <c r="V620">
        <f>K400</f>
        <v>2855</v>
      </c>
      <c r="W620" s="26">
        <f t="shared" si="301"/>
        <v>11.650297873135719</v>
      </c>
      <c r="Y620">
        <f t="shared" si="299"/>
        <v>2855</v>
      </c>
      <c r="Z620">
        <f t="shared" si="300"/>
        <v>11.650297873135719</v>
      </c>
      <c r="AK620">
        <f t="shared" si="297"/>
        <v>58.071225472977446</v>
      </c>
      <c r="AM620">
        <f t="shared" si="298"/>
        <v>58.071225472977446</v>
      </c>
    </row>
    <row r="621" spans="22:39">
      <c r="V621">
        <f>K401</f>
        <v>2860</v>
      </c>
      <c r="W621" s="26">
        <f t="shared" si="301"/>
        <v>11.578192316055262</v>
      </c>
      <c r="Y621">
        <f t="shared" si="299"/>
        <v>2860</v>
      </c>
      <c r="Z621">
        <f t="shared" si="300"/>
        <v>11.578192316055262</v>
      </c>
      <c r="AK621">
        <f t="shared" si="297"/>
        <v>57.71194778391844</v>
      </c>
      <c r="AM621">
        <f t="shared" si="298"/>
        <v>57.71194778391844</v>
      </c>
    </row>
    <row r="622" spans="22:39">
      <c r="V622">
        <f>K402</f>
        <v>2865</v>
      </c>
      <c r="W622" s="26">
        <f t="shared" si="301"/>
        <v>11.506586797512114</v>
      </c>
      <c r="Y622">
        <f t="shared" si="299"/>
        <v>2865</v>
      </c>
      <c r="Z622">
        <f t="shared" si="300"/>
        <v>11.506586797512114</v>
      </c>
      <c r="AK622">
        <f t="shared" si="297"/>
        <v>57.35492026827734</v>
      </c>
      <c r="AM622">
        <f t="shared" si="298"/>
        <v>57.35492026827734</v>
      </c>
    </row>
    <row r="623" spans="22:39">
      <c r="V623">
        <f>K403</f>
        <v>2870</v>
      </c>
      <c r="W623" s="26">
        <f t="shared" si="301"/>
        <v>11.435381309798821</v>
      </c>
      <c r="Y623">
        <f t="shared" si="299"/>
        <v>2870</v>
      </c>
      <c r="Z623">
        <f t="shared" si="300"/>
        <v>11.435381309798821</v>
      </c>
      <c r="AK623">
        <f t="shared" si="297"/>
        <v>57.000392945322801</v>
      </c>
      <c r="AM623">
        <f t="shared" si="298"/>
        <v>57.000392945322801</v>
      </c>
    </row>
    <row r="624" spans="22:39">
      <c r="V624">
        <f>K404</f>
        <v>2875</v>
      </c>
      <c r="W624" s="26">
        <f t="shared" si="301"/>
        <v>11.3647758683303</v>
      </c>
      <c r="Y624">
        <f t="shared" si="299"/>
        <v>2875</v>
      </c>
      <c r="Z624">
        <f t="shared" si="300"/>
        <v>11.3647758683303</v>
      </c>
      <c r="AK624">
        <f t="shared" si="297"/>
        <v>56.648365815054824</v>
      </c>
      <c r="AM624">
        <f t="shared" si="298"/>
        <v>56.648365815054824</v>
      </c>
    </row>
    <row r="625" spans="22:39">
      <c r="V625">
        <f>K405</f>
        <v>2880</v>
      </c>
      <c r="W625" s="26">
        <f t="shared" si="301"/>
        <v>11.294570457691629</v>
      </c>
      <c r="Y625">
        <f t="shared" si="299"/>
        <v>2880</v>
      </c>
      <c r="Z625">
        <f t="shared" si="300"/>
        <v>11.294570457691629</v>
      </c>
      <c r="AK625">
        <f t="shared" si="297"/>
        <v>56.298588858204745</v>
      </c>
      <c r="AM625">
        <f t="shared" si="298"/>
        <v>56.298588858204745</v>
      </c>
    </row>
    <row r="626" spans="22:39">
      <c r="V626">
        <f>K406</f>
        <v>2885</v>
      </c>
      <c r="W626" s="26">
        <f t="shared" si="301"/>
        <v>11.224865085590269</v>
      </c>
      <c r="Y626">
        <f t="shared" si="299"/>
        <v>2885</v>
      </c>
      <c r="Z626">
        <f t="shared" si="300"/>
        <v>11.224865085590269</v>
      </c>
      <c r="AK626">
        <f t="shared" si="297"/>
        <v>55.95156211330989</v>
      </c>
      <c r="AM626">
        <f t="shared" si="298"/>
        <v>55.95156211330989</v>
      </c>
    </row>
    <row r="627" spans="22:39">
      <c r="V627">
        <f>K407</f>
        <v>2890</v>
      </c>
      <c r="W627" s="26">
        <f t="shared" si="301"/>
        <v>11.155759759733691</v>
      </c>
      <c r="Y627">
        <f t="shared" si="299"/>
        <v>2890</v>
      </c>
      <c r="Z627">
        <f t="shared" si="300"/>
        <v>11.155759759733691</v>
      </c>
      <c r="AK627">
        <f t="shared" si="297"/>
        <v>55.607035561101625</v>
      </c>
      <c r="AM627">
        <f t="shared" si="298"/>
        <v>55.607035561101625</v>
      </c>
    </row>
    <row r="628" spans="22:39">
      <c r="V628">
        <f>K408</f>
        <v>2895</v>
      </c>
      <c r="W628" s="26">
        <f t="shared" si="301"/>
        <v>11.087054464706958</v>
      </c>
      <c r="Y628">
        <f t="shared" si="299"/>
        <v>2895</v>
      </c>
      <c r="Z628">
        <f t="shared" si="300"/>
        <v>11.087054464706958</v>
      </c>
      <c r="AK628">
        <f t="shared" si="297"/>
        <v>55.264509163042575</v>
      </c>
      <c r="AM628">
        <f t="shared" si="298"/>
        <v>55.264509163042575</v>
      </c>
    </row>
    <row r="629" spans="22:39">
      <c r="V629">
        <f>K409</f>
        <v>2900</v>
      </c>
      <c r="W629" s="26">
        <f t="shared" si="301"/>
        <v>11.018749200510072</v>
      </c>
      <c r="Y629">
        <f t="shared" si="299"/>
        <v>2900</v>
      </c>
      <c r="Z629">
        <f t="shared" si="300"/>
        <v>11.018749200510072</v>
      </c>
      <c r="AK629">
        <f t="shared" si="297"/>
        <v>54.924482957670087</v>
      </c>
      <c r="AM629">
        <f t="shared" si="298"/>
        <v>54.924482957670087</v>
      </c>
    </row>
    <row r="630" spans="22:39">
      <c r="V630">
        <f>K410</f>
        <v>2905</v>
      </c>
      <c r="W630" s="26">
        <f t="shared" si="301"/>
        <v>10.951043982557964</v>
      </c>
      <c r="Y630">
        <f t="shared" si="299"/>
        <v>2905</v>
      </c>
      <c r="Z630">
        <f t="shared" si="300"/>
        <v>10.951043982557964</v>
      </c>
      <c r="AK630">
        <f t="shared" si="297"/>
        <v>54.586956944984166</v>
      </c>
      <c r="AM630">
        <f t="shared" si="298"/>
        <v>54.586956944984166</v>
      </c>
    </row>
    <row r="631" spans="22:39">
      <c r="V631">
        <f>K411</f>
        <v>2910</v>
      </c>
      <c r="W631" s="26">
        <f t="shared" si="301"/>
        <v>10.883738795435704</v>
      </c>
      <c r="Y631">
        <f t="shared" si="299"/>
        <v>2910</v>
      </c>
      <c r="Z631">
        <f t="shared" si="300"/>
        <v>10.883738795435704</v>
      </c>
      <c r="AK631">
        <f t="shared" si="297"/>
        <v>54.251681105716159</v>
      </c>
      <c r="AM631">
        <f t="shared" si="298"/>
        <v>54.251681105716159</v>
      </c>
    </row>
    <row r="632" spans="22:39">
      <c r="V632">
        <f>K412</f>
        <v>2915</v>
      </c>
      <c r="W632" s="26">
        <f t="shared" si="301"/>
        <v>10.81693364685076</v>
      </c>
      <c r="Y632">
        <f t="shared" si="299"/>
        <v>2915</v>
      </c>
      <c r="Z632">
        <f t="shared" si="300"/>
        <v>10.81693364685076</v>
      </c>
      <c r="AK632">
        <f t="shared" si="297"/>
        <v>53.918405420597402</v>
      </c>
      <c r="AM632">
        <f t="shared" si="298"/>
        <v>53.918405420597402</v>
      </c>
    </row>
    <row r="633" spans="22:39">
      <c r="V633">
        <f>K413</f>
        <v>2920</v>
      </c>
      <c r="W633" s="26">
        <f t="shared" si="301"/>
        <v>10.750428521388201</v>
      </c>
      <c r="Y633">
        <f t="shared" si="299"/>
        <v>2920</v>
      </c>
      <c r="Z633">
        <f t="shared" si="300"/>
        <v>10.750428521388201</v>
      </c>
      <c r="AK633">
        <f t="shared" si="297"/>
        <v>53.587379908896551</v>
      </c>
      <c r="AM633">
        <f t="shared" si="298"/>
        <v>53.587379908896551</v>
      </c>
    </row>
    <row r="634" spans="22:39">
      <c r="V634">
        <f>K414</f>
        <v>2925</v>
      </c>
      <c r="W634" s="26">
        <f t="shared" si="301"/>
        <v>10.68452344217042</v>
      </c>
      <c r="Y634">
        <f t="shared" si="299"/>
        <v>2925</v>
      </c>
      <c r="Z634">
        <f t="shared" si="300"/>
        <v>10.68452344217042</v>
      </c>
      <c r="AK634">
        <f t="shared" si="297"/>
        <v>53.258854589882262</v>
      </c>
      <c r="AM634">
        <f t="shared" si="298"/>
        <v>53.258854589882262</v>
      </c>
    </row>
    <row r="635" spans="22:39">
      <c r="V635">
        <f>K415</f>
        <v>2930</v>
      </c>
      <c r="W635" s="26">
        <f t="shared" si="301"/>
        <v>10.619018393782486</v>
      </c>
      <c r="Y635">
        <f t="shared" si="299"/>
        <v>2930</v>
      </c>
      <c r="Z635">
        <f t="shared" si="300"/>
        <v>10.619018393782486</v>
      </c>
      <c r="AK635">
        <f t="shared" si="297"/>
        <v>52.932579444285878</v>
      </c>
      <c r="AM635">
        <f t="shared" si="298"/>
        <v>52.932579444285878</v>
      </c>
    </row>
    <row r="636" spans="22:39">
      <c r="V636">
        <f>K416</f>
        <v>2935</v>
      </c>
      <c r="W636" s="26">
        <f t="shared" si="301"/>
        <v>10.554013383931865</v>
      </c>
      <c r="Y636">
        <f t="shared" si="299"/>
        <v>2935</v>
      </c>
      <c r="Z636">
        <f t="shared" si="300"/>
        <v>10.554013383931865</v>
      </c>
      <c r="AK636">
        <f t="shared" si="297"/>
        <v>52.608804491376056</v>
      </c>
      <c r="AM636">
        <f t="shared" si="298"/>
        <v>52.608804491376056</v>
      </c>
    </row>
    <row r="637" spans="22:39">
      <c r="V637">
        <f>K417</f>
        <v>2940</v>
      </c>
      <c r="W637" s="26">
        <f t="shared" si="301"/>
        <v>10.489508412618555</v>
      </c>
      <c r="Y637">
        <f t="shared" si="299"/>
        <v>2940</v>
      </c>
      <c r="Z637">
        <f t="shared" si="300"/>
        <v>10.489508412618555</v>
      </c>
      <c r="AK637">
        <f t="shared" si="297"/>
        <v>52.287029692615477</v>
      </c>
      <c r="AM637">
        <f t="shared" si="298"/>
        <v>52.287029692615477</v>
      </c>
    </row>
    <row r="638" spans="22:39">
      <c r="V638">
        <f>K418</f>
        <v>2945</v>
      </c>
      <c r="W638" s="26">
        <f t="shared" si="301"/>
        <v>10.425303464427635</v>
      </c>
      <c r="Y638">
        <f t="shared" si="299"/>
        <v>2945</v>
      </c>
      <c r="Z638">
        <f t="shared" si="300"/>
        <v>10.425303464427635</v>
      </c>
      <c r="AK638">
        <f t="shared" si="297"/>
        <v>51.967255048004155</v>
      </c>
      <c r="AM638">
        <f t="shared" si="298"/>
        <v>51.967255048004155</v>
      </c>
    </row>
    <row r="639" spans="22:39">
      <c r="V639">
        <f>K419</f>
        <v>2950</v>
      </c>
      <c r="W639" s="26">
        <f t="shared" si="301"/>
        <v>10.361598554774027</v>
      </c>
      <c r="Y639">
        <f t="shared" si="299"/>
        <v>2950</v>
      </c>
      <c r="Z639">
        <f t="shared" si="300"/>
        <v>10.361598554774027</v>
      </c>
      <c r="AK639">
        <f t="shared" si="297"/>
        <v>51.649980596079388</v>
      </c>
      <c r="AM639">
        <f t="shared" si="298"/>
        <v>51.649980596079388</v>
      </c>
    </row>
    <row r="640" spans="22:39">
      <c r="V640">
        <f>K420</f>
        <v>2955</v>
      </c>
      <c r="W640" s="26">
        <f t="shared" si="301"/>
        <v>10.298393683657729</v>
      </c>
      <c r="Y640">
        <f t="shared" si="299"/>
        <v>2955</v>
      </c>
      <c r="Z640">
        <f t="shared" si="300"/>
        <v>10.298393683657729</v>
      </c>
      <c r="AK640">
        <f t="shared" si="297"/>
        <v>51.334706298303878</v>
      </c>
      <c r="AM640">
        <f t="shared" si="298"/>
        <v>51.334706298303878</v>
      </c>
    </row>
    <row r="641" spans="22:39">
      <c r="V641">
        <f>K421</f>
        <v>2960</v>
      </c>
      <c r="W641" s="26">
        <f t="shared" si="301"/>
        <v>10.235488835663825</v>
      </c>
      <c r="Y641">
        <f t="shared" si="299"/>
        <v>2960</v>
      </c>
      <c r="Z641">
        <f t="shared" si="300"/>
        <v>10.235488835663825</v>
      </c>
      <c r="AK641">
        <f t="shared" si="297"/>
        <v>51.021432154677626</v>
      </c>
      <c r="AM641">
        <f t="shared" si="298"/>
        <v>51.021432154677626</v>
      </c>
    </row>
    <row r="642" spans="22:39">
      <c r="V642">
        <f>K422</f>
        <v>2965</v>
      </c>
      <c r="W642" s="26">
        <f t="shared" si="301"/>
        <v>10.173084026207226</v>
      </c>
      <c r="Y642">
        <f t="shared" si="299"/>
        <v>2965</v>
      </c>
      <c r="Z642">
        <f t="shared" si="300"/>
        <v>10.173084026207226</v>
      </c>
      <c r="AK642">
        <f t="shared" si="297"/>
        <v>50.710658203737928</v>
      </c>
      <c r="AM642">
        <f t="shared" si="298"/>
        <v>50.710658203737928</v>
      </c>
    </row>
    <row r="643" spans="22:39">
      <c r="V643">
        <f>K423</f>
        <v>2970</v>
      </c>
      <c r="W643" s="26">
        <f t="shared" si="301"/>
        <v>10.111179255287945</v>
      </c>
      <c r="Y643">
        <f t="shared" si="299"/>
        <v>2970</v>
      </c>
      <c r="Z643">
        <f t="shared" si="300"/>
        <v>10.111179255287945</v>
      </c>
      <c r="AK643">
        <f t="shared" si="297"/>
        <v>50.401884406947481</v>
      </c>
      <c r="AM643">
        <f t="shared" si="298"/>
        <v>50.401884406947481</v>
      </c>
    </row>
    <row r="644" spans="22:39">
      <c r="V644">
        <f>K424</f>
        <v>2975</v>
      </c>
      <c r="W644" s="26">
        <f t="shared" si="301"/>
        <v>10.049574507491046</v>
      </c>
      <c r="Y644">
        <f t="shared" si="299"/>
        <v>2975</v>
      </c>
      <c r="Z644">
        <f t="shared" si="300"/>
        <v>10.049574507491046</v>
      </c>
      <c r="AK644">
        <f t="shared" si="297"/>
        <v>50.094910748891351</v>
      </c>
      <c r="AM644">
        <f t="shared" si="298"/>
        <v>50.094910748891351</v>
      </c>
    </row>
    <row r="645" spans="22:39">
      <c r="V645">
        <f>K425</f>
        <v>2980</v>
      </c>
      <c r="W645" s="26">
        <f t="shared" si="301"/>
        <v>9.9883897920654938</v>
      </c>
      <c r="Y645">
        <f t="shared" si="299"/>
        <v>2980</v>
      </c>
      <c r="Z645">
        <f t="shared" si="300"/>
        <v>9.9883897920654938</v>
      </c>
      <c r="AK645">
        <f t="shared" si="297"/>
        <v>49.790187264253134</v>
      </c>
      <c r="AM645">
        <f t="shared" si="298"/>
        <v>49.790187264253134</v>
      </c>
    </row>
    <row r="646" spans="22:39">
      <c r="V646">
        <f>K426</f>
        <v>2985</v>
      </c>
      <c r="W646" s="26">
        <f t="shared" si="301"/>
        <v>9.9276851136357607</v>
      </c>
      <c r="Y646">
        <f t="shared" si="299"/>
        <v>2985</v>
      </c>
      <c r="Z646">
        <f t="shared" si="300"/>
        <v>9.9276851136357607</v>
      </c>
      <c r="AK646">
        <f t="shared" si="297"/>
        <v>49.487613945325357</v>
      </c>
      <c r="AM646">
        <f t="shared" si="298"/>
        <v>49.487613945325357</v>
      </c>
    </row>
    <row r="647" spans="22:39">
      <c r="V647">
        <f>K427</f>
        <v>2990</v>
      </c>
      <c r="W647" s="26">
        <f t="shared" si="301"/>
        <v>9.867360464494384</v>
      </c>
      <c r="Y647">
        <f t="shared" si="299"/>
        <v>2990</v>
      </c>
      <c r="Z647">
        <f t="shared" si="300"/>
        <v>9.867360464494384</v>
      </c>
      <c r="AK647">
        <f t="shared" si="297"/>
        <v>49.187040780546837</v>
      </c>
      <c r="AM647">
        <f t="shared" si="298"/>
        <v>49.187040780546837</v>
      </c>
    </row>
    <row r="648" spans="22:39">
      <c r="V648">
        <f>K428</f>
        <v>2995</v>
      </c>
      <c r="W648" s="26">
        <f t="shared" si="301"/>
        <v>9.8074558477243503</v>
      </c>
      <c r="Y648">
        <f t="shared" si="299"/>
        <v>2995</v>
      </c>
      <c r="Z648">
        <f t="shared" si="300"/>
        <v>9.8074558477243503</v>
      </c>
      <c r="AK648">
        <f t="shared" si="297"/>
        <v>48.8885927795519</v>
      </c>
      <c r="AM648">
        <f>0.5*(V649-V648)*(W648+W649)</f>
        <v>48.8885927795519</v>
      </c>
    </row>
    <row r="649" spans="22:39">
      <c r="V649">
        <f>K429</f>
        <v>3000</v>
      </c>
      <c r="W649" s="26">
        <f t="shared" si="301"/>
        <v>9.7479812640964063</v>
      </c>
      <c r="Y649">
        <f t="shared" si="299"/>
        <v>3000</v>
      </c>
      <c r="Z649">
        <f t="shared" si="300"/>
        <v>9.7479812640964063</v>
      </c>
    </row>
  </sheetData>
  <mergeCells count="2">
    <mergeCell ref="K4:L4"/>
    <mergeCell ref="K14:L14"/>
  </mergeCells>
  <dataValidations count="2">
    <dataValidation type="list" allowBlank="1" showInputMessage="1" showErrorMessage="1" sqref="G4">
      <formula1>$AR$3:$AR$4</formula1>
    </dataValidation>
    <dataValidation type="list" allowBlank="1" showInputMessage="1" showErrorMessage="1" sqref="G5">
      <formula1>$AR$5:$AR$6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05"/>
  <sheetViews>
    <sheetView topLeftCell="A174" workbookViewId="0">
      <selection activeCell="A1218" sqref="A1218"/>
    </sheetView>
  </sheetViews>
  <sheetFormatPr defaultRowHeight="15"/>
  <cols>
    <col min="2" max="2" width="11.85546875" bestFit="1" customWidth="1"/>
    <col min="3" max="3" width="10.140625" bestFit="1" customWidth="1"/>
    <col min="4" max="4" width="12" bestFit="1" customWidth="1"/>
    <col min="5" max="5" width="15.140625" bestFit="1" customWidth="1"/>
  </cols>
  <sheetData>
    <row r="2" spans="2:7">
      <c r="B2" s="1"/>
      <c r="C2" s="1" t="s">
        <v>8</v>
      </c>
      <c r="D2" s="1" t="s">
        <v>9</v>
      </c>
      <c r="E2" s="1" t="s">
        <v>10</v>
      </c>
      <c r="F2" s="1" t="s">
        <v>12</v>
      </c>
    </row>
    <row r="3" spans="2:7">
      <c r="B3" s="1" t="s">
        <v>0</v>
      </c>
      <c r="C3" s="1" t="s">
        <v>11</v>
      </c>
      <c r="D3" s="1" t="s">
        <v>11</v>
      </c>
      <c r="E3" s="1" t="s">
        <v>11</v>
      </c>
      <c r="F3" s="1" t="s">
        <v>11</v>
      </c>
    </row>
    <row r="4" spans="2:7">
      <c r="B4" s="1" t="s">
        <v>1</v>
      </c>
      <c r="C4" s="1" t="s">
        <v>6</v>
      </c>
      <c r="D4" s="1" t="s">
        <v>6</v>
      </c>
      <c r="E4" s="1" t="s">
        <v>6</v>
      </c>
      <c r="F4" s="1" t="s">
        <v>6</v>
      </c>
    </row>
    <row r="5" spans="2:7">
      <c r="B5">
        <v>200</v>
      </c>
      <c r="C5">
        <v>0.03</v>
      </c>
      <c r="D5" s="1"/>
      <c r="E5" s="1"/>
      <c r="F5" s="1"/>
      <c r="G5">
        <f>B5</f>
        <v>200</v>
      </c>
    </row>
    <row r="6" spans="2:7">
      <c r="B6">
        <v>201</v>
      </c>
      <c r="C6">
        <v>3.3399999999999999E-2</v>
      </c>
      <c r="D6" s="1"/>
      <c r="E6" s="1"/>
      <c r="F6" s="1"/>
      <c r="G6">
        <f t="shared" ref="G6:G69" si="0">B6</f>
        <v>201</v>
      </c>
    </row>
    <row r="7" spans="2:7">
      <c r="B7">
        <v>202</v>
      </c>
      <c r="C7">
        <v>3.7100000000000001E-2</v>
      </c>
      <c r="D7" s="1"/>
      <c r="E7" s="1"/>
      <c r="F7" s="1"/>
      <c r="G7">
        <f t="shared" si="0"/>
        <v>202</v>
      </c>
    </row>
    <row r="8" spans="2:7">
      <c r="B8">
        <v>203</v>
      </c>
      <c r="C8">
        <v>4.1200000000000001E-2</v>
      </c>
      <c r="D8" s="1"/>
      <c r="E8" s="1"/>
      <c r="F8" s="1"/>
      <c r="G8">
        <f t="shared" si="0"/>
        <v>203</v>
      </c>
    </row>
    <row r="9" spans="2:7">
      <c r="B9">
        <v>204</v>
      </c>
      <c r="C9">
        <v>4.5900000000000003E-2</v>
      </c>
      <c r="D9" s="1"/>
      <c r="E9" s="1"/>
      <c r="F9" s="1"/>
      <c r="G9">
        <f t="shared" si="0"/>
        <v>204</v>
      </c>
    </row>
    <row r="10" spans="2:7">
      <c r="B10">
        <v>205</v>
      </c>
      <c r="C10">
        <v>5.0999999999999997E-2</v>
      </c>
      <c r="D10" s="1"/>
      <c r="E10" s="1"/>
      <c r="F10" s="1"/>
      <c r="G10">
        <f t="shared" si="0"/>
        <v>205</v>
      </c>
    </row>
    <row r="11" spans="2:7">
      <c r="B11">
        <v>206</v>
      </c>
      <c r="C11">
        <v>5.5100000000000003E-2</v>
      </c>
      <c r="D11" s="1"/>
      <c r="E11" s="1"/>
      <c r="F11" s="1"/>
      <c r="G11">
        <f t="shared" si="0"/>
        <v>206</v>
      </c>
    </row>
    <row r="12" spans="2:7">
      <c r="B12">
        <v>207</v>
      </c>
      <c r="C12">
        <v>5.9499999999999997E-2</v>
      </c>
      <c r="D12" s="1"/>
      <c r="E12" s="1"/>
      <c r="F12" s="1"/>
      <c r="G12">
        <f t="shared" si="0"/>
        <v>207</v>
      </c>
    </row>
    <row r="13" spans="2:7">
      <c r="B13">
        <v>208</v>
      </c>
      <c r="C13">
        <v>6.4299999999999996E-2</v>
      </c>
      <c r="D13" s="1"/>
      <c r="E13" s="1"/>
      <c r="F13" s="1"/>
      <c r="G13">
        <f t="shared" si="0"/>
        <v>208</v>
      </c>
    </row>
    <row r="14" spans="2:7">
      <c r="B14">
        <v>209</v>
      </c>
      <c r="C14">
        <v>6.9400000000000003E-2</v>
      </c>
      <c r="D14" s="1"/>
      <c r="E14" s="1"/>
      <c r="F14" s="1"/>
      <c r="G14">
        <f t="shared" si="0"/>
        <v>209</v>
      </c>
    </row>
    <row r="15" spans="2:7">
      <c r="B15">
        <v>210</v>
      </c>
      <c r="C15">
        <v>7.4999999999999997E-2</v>
      </c>
      <c r="D15" s="1"/>
      <c r="E15" s="1"/>
      <c r="F15" s="1"/>
      <c r="G15">
        <f t="shared" si="0"/>
        <v>210</v>
      </c>
    </row>
    <row r="16" spans="2:7">
      <c r="B16">
        <v>211</v>
      </c>
      <c r="C16">
        <v>7.8600000000000003E-2</v>
      </c>
      <c r="D16" s="1"/>
      <c r="E16" s="1"/>
      <c r="F16" s="1"/>
      <c r="G16">
        <f t="shared" si="0"/>
        <v>211</v>
      </c>
    </row>
    <row r="17" spans="2:7">
      <c r="B17">
        <v>212</v>
      </c>
      <c r="C17">
        <v>8.2400000000000001E-2</v>
      </c>
      <c r="D17" s="1"/>
      <c r="E17" s="1"/>
      <c r="F17" s="1"/>
      <c r="G17">
        <f t="shared" si="0"/>
        <v>212</v>
      </c>
    </row>
    <row r="18" spans="2:7">
      <c r="B18">
        <v>213</v>
      </c>
      <c r="C18">
        <v>8.6400000000000005E-2</v>
      </c>
      <c r="D18" s="1"/>
      <c r="E18" s="1"/>
      <c r="F18" s="1"/>
      <c r="G18">
        <f t="shared" si="0"/>
        <v>213</v>
      </c>
    </row>
    <row r="19" spans="2:7">
      <c r="B19">
        <v>214</v>
      </c>
      <c r="C19">
        <v>9.06E-2</v>
      </c>
      <c r="D19" s="1"/>
      <c r="E19" s="1"/>
      <c r="F19" s="1"/>
      <c r="G19">
        <f t="shared" si="0"/>
        <v>214</v>
      </c>
    </row>
    <row r="20" spans="2:7">
      <c r="B20">
        <v>215</v>
      </c>
      <c r="C20">
        <v>9.5000000000000001E-2</v>
      </c>
      <c r="D20" s="1"/>
      <c r="E20" s="1"/>
      <c r="F20" s="1"/>
      <c r="G20">
        <f t="shared" si="0"/>
        <v>215</v>
      </c>
    </row>
    <row r="21" spans="2:7">
      <c r="B21">
        <v>216</v>
      </c>
      <c r="C21">
        <v>9.9500000000000005E-2</v>
      </c>
      <c r="D21" s="1"/>
      <c r="E21" s="1"/>
      <c r="F21" s="1"/>
      <c r="G21">
        <f t="shared" si="0"/>
        <v>216</v>
      </c>
    </row>
    <row r="22" spans="2:7">
      <c r="B22">
        <v>217</v>
      </c>
      <c r="C22">
        <v>0.1043</v>
      </c>
      <c r="D22" s="1"/>
      <c r="E22" s="1"/>
      <c r="F22" s="1"/>
      <c r="G22">
        <f t="shared" si="0"/>
        <v>217</v>
      </c>
    </row>
    <row r="23" spans="2:7">
      <c r="B23">
        <v>218</v>
      </c>
      <c r="C23">
        <v>0.10929999999999999</v>
      </c>
      <c r="D23" s="1"/>
      <c r="E23" s="1"/>
      <c r="F23" s="1"/>
      <c r="G23">
        <f t="shared" si="0"/>
        <v>218</v>
      </c>
    </row>
    <row r="24" spans="2:7">
      <c r="B24">
        <v>219</v>
      </c>
      <c r="C24">
        <v>0.1145</v>
      </c>
      <c r="D24" s="1"/>
      <c r="E24" s="1"/>
      <c r="F24" s="1"/>
      <c r="G24">
        <f t="shared" si="0"/>
        <v>219</v>
      </c>
    </row>
    <row r="25" spans="2:7">
      <c r="B25">
        <v>220</v>
      </c>
      <c r="C25">
        <v>0.12</v>
      </c>
      <c r="D25" s="1"/>
      <c r="E25" s="1"/>
      <c r="F25" s="1"/>
      <c r="G25">
        <f t="shared" si="0"/>
        <v>220</v>
      </c>
    </row>
    <row r="26" spans="2:7">
      <c r="B26">
        <v>221</v>
      </c>
      <c r="C26">
        <v>0.12570000000000001</v>
      </c>
      <c r="D26" s="1"/>
      <c r="E26" s="1"/>
      <c r="F26" s="1"/>
      <c r="G26">
        <f t="shared" si="0"/>
        <v>221</v>
      </c>
    </row>
    <row r="27" spans="2:7">
      <c r="B27">
        <v>222</v>
      </c>
      <c r="C27">
        <v>0.13159999999999999</v>
      </c>
      <c r="D27" s="1"/>
      <c r="E27" s="1"/>
      <c r="F27" s="1"/>
      <c r="G27">
        <f t="shared" si="0"/>
        <v>222</v>
      </c>
    </row>
    <row r="28" spans="2:7">
      <c r="B28">
        <v>223</v>
      </c>
      <c r="C28">
        <v>0.13780000000000001</v>
      </c>
      <c r="D28" s="1"/>
      <c r="E28" s="1"/>
      <c r="F28" s="1"/>
      <c r="G28">
        <f t="shared" si="0"/>
        <v>223</v>
      </c>
    </row>
    <row r="29" spans="2:7">
      <c r="B29">
        <v>224</v>
      </c>
      <c r="C29">
        <v>0.1444</v>
      </c>
      <c r="D29" s="1"/>
      <c r="E29" s="1"/>
      <c r="F29" s="1"/>
      <c r="G29">
        <f t="shared" si="0"/>
        <v>224</v>
      </c>
    </row>
    <row r="30" spans="2:7">
      <c r="B30">
        <v>225</v>
      </c>
      <c r="C30">
        <v>0.15</v>
      </c>
      <c r="D30" s="1"/>
      <c r="E30" s="1"/>
      <c r="F30" s="1"/>
      <c r="G30">
        <f t="shared" si="0"/>
        <v>225</v>
      </c>
    </row>
    <row r="31" spans="2:7">
      <c r="B31">
        <v>226</v>
      </c>
      <c r="C31">
        <v>0.1583</v>
      </c>
      <c r="D31" s="1"/>
      <c r="E31" s="1"/>
      <c r="F31" s="1"/>
      <c r="G31">
        <f t="shared" si="0"/>
        <v>226</v>
      </c>
    </row>
    <row r="32" spans="2:7">
      <c r="B32">
        <v>227</v>
      </c>
      <c r="C32">
        <v>0.1658</v>
      </c>
      <c r="D32" s="1"/>
      <c r="E32" s="1"/>
      <c r="F32" s="1"/>
      <c r="G32">
        <f t="shared" si="0"/>
        <v>227</v>
      </c>
    </row>
    <row r="33" spans="2:7">
      <c r="B33">
        <v>228</v>
      </c>
      <c r="C33">
        <v>0.17369999999999999</v>
      </c>
      <c r="D33" s="1"/>
      <c r="E33" s="1"/>
      <c r="F33" s="1"/>
      <c r="G33">
        <f t="shared" si="0"/>
        <v>228</v>
      </c>
    </row>
    <row r="34" spans="2:7">
      <c r="B34">
        <v>229</v>
      </c>
      <c r="C34">
        <v>0.18190000000000001</v>
      </c>
      <c r="D34" s="1"/>
      <c r="E34" s="1"/>
      <c r="F34" s="1"/>
      <c r="G34">
        <f t="shared" si="0"/>
        <v>229</v>
      </c>
    </row>
    <row r="35" spans="2:7">
      <c r="B35">
        <v>230</v>
      </c>
      <c r="C35">
        <v>0.19</v>
      </c>
      <c r="D35" s="1"/>
      <c r="E35" s="1"/>
      <c r="F35" s="1"/>
      <c r="G35">
        <f t="shared" si="0"/>
        <v>230</v>
      </c>
    </row>
    <row r="36" spans="2:7">
      <c r="B36">
        <v>231</v>
      </c>
      <c r="C36">
        <v>0.19950000000000001</v>
      </c>
      <c r="D36" s="1"/>
      <c r="E36" s="1"/>
      <c r="F36" s="1"/>
      <c r="G36">
        <f t="shared" si="0"/>
        <v>231</v>
      </c>
    </row>
    <row r="37" spans="2:7">
      <c r="B37">
        <v>232</v>
      </c>
      <c r="C37">
        <v>0.2089</v>
      </c>
      <c r="D37" s="1"/>
      <c r="E37" s="1"/>
      <c r="F37" s="1"/>
      <c r="G37">
        <f t="shared" si="0"/>
        <v>232</v>
      </c>
    </row>
    <row r="38" spans="2:7">
      <c r="B38">
        <v>233</v>
      </c>
      <c r="C38">
        <v>0.21879999999999999</v>
      </c>
      <c r="D38" s="1"/>
      <c r="E38" s="1"/>
      <c r="F38" s="1"/>
      <c r="G38">
        <f t="shared" si="0"/>
        <v>233</v>
      </c>
    </row>
    <row r="39" spans="2:7">
      <c r="B39">
        <v>234</v>
      </c>
      <c r="C39">
        <v>0.22919999999999999</v>
      </c>
      <c r="D39" s="1"/>
      <c r="E39" s="1"/>
      <c r="F39" s="1"/>
      <c r="G39">
        <f t="shared" si="0"/>
        <v>234</v>
      </c>
    </row>
    <row r="40" spans="2:7">
      <c r="B40">
        <v>235</v>
      </c>
      <c r="C40">
        <v>0.24</v>
      </c>
      <c r="D40" s="1"/>
      <c r="E40" s="1"/>
      <c r="F40" s="1"/>
      <c r="G40">
        <f t="shared" si="0"/>
        <v>235</v>
      </c>
    </row>
    <row r="41" spans="2:7">
      <c r="B41">
        <v>236</v>
      </c>
      <c r="C41">
        <v>0.251</v>
      </c>
      <c r="D41" s="1"/>
      <c r="E41" s="1"/>
      <c r="F41" s="1"/>
      <c r="G41">
        <f t="shared" si="0"/>
        <v>236</v>
      </c>
    </row>
    <row r="42" spans="2:7">
      <c r="B42">
        <v>237</v>
      </c>
      <c r="C42">
        <v>0.26240000000000002</v>
      </c>
      <c r="D42" s="1"/>
      <c r="E42" s="1"/>
      <c r="F42" s="1"/>
      <c r="G42">
        <f t="shared" si="0"/>
        <v>237</v>
      </c>
    </row>
    <row r="43" spans="2:7">
      <c r="B43">
        <v>238</v>
      </c>
      <c r="C43">
        <v>0.27439999999999998</v>
      </c>
      <c r="D43" s="1"/>
      <c r="E43" s="1"/>
      <c r="F43" s="1"/>
      <c r="G43">
        <f t="shared" si="0"/>
        <v>238</v>
      </c>
    </row>
    <row r="44" spans="2:7">
      <c r="B44">
        <v>239</v>
      </c>
      <c r="C44">
        <v>0.28689999999999999</v>
      </c>
      <c r="D44" s="1"/>
      <c r="E44" s="1"/>
      <c r="F44" s="1"/>
      <c r="G44">
        <f t="shared" si="0"/>
        <v>239</v>
      </c>
    </row>
    <row r="45" spans="2:7">
      <c r="B45">
        <v>240</v>
      </c>
      <c r="C45">
        <v>0.3</v>
      </c>
      <c r="D45" s="1"/>
      <c r="E45" s="1"/>
      <c r="F45" s="1"/>
      <c r="G45">
        <f t="shared" si="0"/>
        <v>240</v>
      </c>
    </row>
    <row r="46" spans="2:7">
      <c r="B46">
        <v>241</v>
      </c>
      <c r="C46">
        <v>0.31109999999999999</v>
      </c>
      <c r="D46" s="1"/>
      <c r="E46" s="1"/>
      <c r="F46" s="1"/>
      <c r="G46">
        <f t="shared" si="0"/>
        <v>241</v>
      </c>
    </row>
    <row r="47" spans="2:7">
      <c r="B47">
        <v>242</v>
      </c>
      <c r="C47">
        <v>0.32269999999999999</v>
      </c>
      <c r="D47" s="1"/>
      <c r="E47" s="1"/>
      <c r="F47" s="1"/>
      <c r="G47">
        <f t="shared" si="0"/>
        <v>242</v>
      </c>
    </row>
    <row r="48" spans="2:7">
      <c r="B48">
        <v>243</v>
      </c>
      <c r="C48">
        <v>0.3347</v>
      </c>
      <c r="D48" s="1"/>
      <c r="E48" s="1"/>
      <c r="F48" s="1"/>
      <c r="G48">
        <f t="shared" si="0"/>
        <v>243</v>
      </c>
    </row>
    <row r="49" spans="2:7">
      <c r="B49">
        <v>244</v>
      </c>
      <c r="C49">
        <v>0.34710000000000002</v>
      </c>
      <c r="D49" s="1"/>
      <c r="E49" s="1"/>
      <c r="F49" s="1"/>
      <c r="G49">
        <f t="shared" si="0"/>
        <v>244</v>
      </c>
    </row>
    <row r="50" spans="2:7">
      <c r="B50">
        <v>245</v>
      </c>
      <c r="C50">
        <v>0.36</v>
      </c>
      <c r="D50" s="1"/>
      <c r="E50" s="1"/>
      <c r="F50" s="1"/>
      <c r="G50">
        <f t="shared" si="0"/>
        <v>245</v>
      </c>
    </row>
    <row r="51" spans="2:7">
      <c r="B51">
        <v>246</v>
      </c>
      <c r="C51">
        <v>0.373</v>
      </c>
      <c r="D51" s="1"/>
      <c r="E51" s="1"/>
      <c r="F51" s="1"/>
      <c r="G51">
        <f t="shared" si="0"/>
        <v>246</v>
      </c>
    </row>
    <row r="52" spans="2:7">
      <c r="B52">
        <v>247</v>
      </c>
      <c r="C52">
        <v>0.38650000000000001</v>
      </c>
      <c r="D52" s="1"/>
      <c r="E52" s="1"/>
      <c r="F52" s="1"/>
      <c r="G52">
        <f t="shared" si="0"/>
        <v>247</v>
      </c>
    </row>
    <row r="53" spans="2:7">
      <c r="B53">
        <v>248</v>
      </c>
      <c r="C53">
        <v>0.40050000000000002</v>
      </c>
      <c r="D53" s="1"/>
      <c r="E53" s="1"/>
      <c r="F53" s="1"/>
      <c r="G53">
        <f t="shared" si="0"/>
        <v>248</v>
      </c>
    </row>
    <row r="54" spans="2:7">
      <c r="B54">
        <v>249</v>
      </c>
      <c r="C54">
        <v>0.41499999999999998</v>
      </c>
      <c r="D54" s="1"/>
      <c r="E54" s="1"/>
      <c r="F54" s="1"/>
      <c r="G54">
        <f t="shared" si="0"/>
        <v>249</v>
      </c>
    </row>
    <row r="55" spans="2:7">
      <c r="B55">
        <v>250</v>
      </c>
      <c r="C55">
        <v>0.43</v>
      </c>
      <c r="D55" s="1"/>
      <c r="E55" s="1"/>
      <c r="F55" s="1"/>
      <c r="G55">
        <f t="shared" si="0"/>
        <v>250</v>
      </c>
    </row>
    <row r="56" spans="2:7">
      <c r="B56">
        <v>251</v>
      </c>
      <c r="C56">
        <v>0.44650000000000001</v>
      </c>
      <c r="D56" s="1"/>
      <c r="E56" s="1"/>
      <c r="F56" s="1"/>
      <c r="G56">
        <f t="shared" si="0"/>
        <v>251</v>
      </c>
    </row>
    <row r="57" spans="2:7">
      <c r="B57">
        <v>252</v>
      </c>
      <c r="C57">
        <v>0.4637</v>
      </c>
      <c r="D57" s="1"/>
      <c r="E57" s="1"/>
      <c r="F57" s="1"/>
      <c r="G57">
        <f t="shared" si="0"/>
        <v>252</v>
      </c>
    </row>
    <row r="58" spans="2:7">
      <c r="B58">
        <v>253</v>
      </c>
      <c r="C58">
        <v>0.48149999999999998</v>
      </c>
      <c r="D58" s="1"/>
      <c r="E58" s="1"/>
      <c r="F58" s="1"/>
      <c r="G58">
        <f t="shared" si="0"/>
        <v>253</v>
      </c>
    </row>
    <row r="59" spans="2:7">
      <c r="B59">
        <v>254</v>
      </c>
      <c r="C59">
        <v>0.5</v>
      </c>
      <c r="D59" s="1"/>
      <c r="E59" s="1"/>
      <c r="F59" s="1"/>
      <c r="G59">
        <f t="shared" si="0"/>
        <v>254</v>
      </c>
    </row>
    <row r="60" spans="2:7">
      <c r="B60">
        <v>255</v>
      </c>
      <c r="C60">
        <v>0.52</v>
      </c>
      <c r="D60" s="1"/>
      <c r="E60" s="1"/>
      <c r="F60" s="1"/>
      <c r="G60">
        <f t="shared" si="0"/>
        <v>255</v>
      </c>
    </row>
    <row r="61" spans="2:7">
      <c r="B61">
        <v>256</v>
      </c>
      <c r="C61">
        <v>0.54369999999999996</v>
      </c>
      <c r="D61" s="1"/>
      <c r="E61" s="1"/>
      <c r="F61" s="1"/>
      <c r="G61">
        <f t="shared" si="0"/>
        <v>256</v>
      </c>
    </row>
    <row r="62" spans="2:7">
      <c r="B62">
        <v>257</v>
      </c>
      <c r="C62">
        <v>0.56850000000000001</v>
      </c>
      <c r="D62" s="1"/>
      <c r="E62" s="1"/>
      <c r="F62" s="1"/>
      <c r="G62">
        <f t="shared" si="0"/>
        <v>257</v>
      </c>
    </row>
    <row r="63" spans="2:7">
      <c r="B63">
        <v>258</v>
      </c>
      <c r="C63">
        <v>0.59450000000000003</v>
      </c>
      <c r="D63" s="1"/>
      <c r="E63" s="1"/>
      <c r="F63" s="1"/>
      <c r="G63">
        <f t="shared" si="0"/>
        <v>258</v>
      </c>
    </row>
    <row r="64" spans="2:7">
      <c r="B64">
        <v>259</v>
      </c>
      <c r="C64">
        <v>0.62160000000000004</v>
      </c>
      <c r="D64" s="1"/>
      <c r="E64" s="1"/>
      <c r="F64" s="1"/>
      <c r="G64">
        <f t="shared" si="0"/>
        <v>259</v>
      </c>
    </row>
    <row r="65" spans="2:7">
      <c r="B65">
        <v>260</v>
      </c>
      <c r="C65">
        <v>0.65</v>
      </c>
      <c r="D65" s="1"/>
      <c r="E65" s="1"/>
      <c r="F65" s="1"/>
      <c r="G65">
        <f t="shared" si="0"/>
        <v>260</v>
      </c>
    </row>
    <row r="66" spans="2:7">
      <c r="B66">
        <v>261</v>
      </c>
      <c r="C66">
        <v>0.67920000000000003</v>
      </c>
      <c r="D66" s="1"/>
      <c r="E66" s="1"/>
      <c r="F66" s="1"/>
      <c r="G66">
        <f t="shared" si="0"/>
        <v>261</v>
      </c>
    </row>
    <row r="67" spans="2:7">
      <c r="B67">
        <v>262</v>
      </c>
      <c r="C67">
        <v>0.70979999999999999</v>
      </c>
      <c r="D67" s="1"/>
      <c r="E67" s="1"/>
      <c r="F67" s="1"/>
      <c r="G67">
        <f t="shared" si="0"/>
        <v>262</v>
      </c>
    </row>
    <row r="68" spans="2:7">
      <c r="B68">
        <v>263</v>
      </c>
      <c r="C68">
        <v>0.74170000000000003</v>
      </c>
      <c r="D68" s="1"/>
      <c r="E68" s="1"/>
      <c r="F68" s="1"/>
      <c r="G68">
        <f t="shared" si="0"/>
        <v>263</v>
      </c>
    </row>
    <row r="69" spans="2:7">
      <c r="B69">
        <v>264</v>
      </c>
      <c r="C69">
        <v>0.77510000000000001</v>
      </c>
      <c r="D69" s="1"/>
      <c r="E69" s="1"/>
      <c r="F69" s="1"/>
      <c r="G69">
        <f t="shared" si="0"/>
        <v>264</v>
      </c>
    </row>
    <row r="70" spans="2:7">
      <c r="B70">
        <v>265</v>
      </c>
      <c r="C70">
        <v>0.81</v>
      </c>
      <c r="D70" s="1"/>
      <c r="E70" s="1"/>
      <c r="F70" s="1"/>
      <c r="G70">
        <f t="shared" ref="G70:G133" si="1">B70</f>
        <v>265</v>
      </c>
    </row>
    <row r="71" spans="2:7">
      <c r="B71">
        <v>266</v>
      </c>
      <c r="C71">
        <v>0.84489999999999998</v>
      </c>
      <c r="D71" s="1"/>
      <c r="E71" s="1"/>
      <c r="F71" s="1"/>
      <c r="G71">
        <f t="shared" si="1"/>
        <v>266</v>
      </c>
    </row>
    <row r="72" spans="2:7">
      <c r="B72">
        <v>267</v>
      </c>
      <c r="C72">
        <v>0.88119999999999998</v>
      </c>
      <c r="D72" s="1"/>
      <c r="E72" s="1"/>
      <c r="F72" s="1"/>
      <c r="G72">
        <f t="shared" si="1"/>
        <v>267</v>
      </c>
    </row>
    <row r="73" spans="2:7">
      <c r="B73">
        <v>268</v>
      </c>
      <c r="C73">
        <v>0.91920000000000002</v>
      </c>
      <c r="D73" s="1"/>
      <c r="E73" s="1"/>
      <c r="F73" s="1"/>
      <c r="G73">
        <f t="shared" si="1"/>
        <v>268</v>
      </c>
    </row>
    <row r="74" spans="2:7">
      <c r="B74">
        <v>269</v>
      </c>
      <c r="C74">
        <v>0.9587</v>
      </c>
      <c r="D74" s="1"/>
      <c r="E74" s="1"/>
      <c r="F74" s="1"/>
      <c r="G74">
        <f t="shared" si="1"/>
        <v>269</v>
      </c>
    </row>
    <row r="75" spans="2:7">
      <c r="B75">
        <v>270</v>
      </c>
      <c r="C75">
        <v>1</v>
      </c>
      <c r="D75" s="1"/>
      <c r="E75" s="1"/>
      <c r="F75" s="1"/>
      <c r="G75">
        <f t="shared" si="1"/>
        <v>270</v>
      </c>
    </row>
    <row r="76" spans="2:7">
      <c r="B76">
        <v>271</v>
      </c>
      <c r="C76">
        <v>0.9919</v>
      </c>
      <c r="D76" s="1"/>
      <c r="E76" s="1"/>
      <c r="F76" s="1"/>
      <c r="G76">
        <f t="shared" si="1"/>
        <v>271</v>
      </c>
    </row>
    <row r="77" spans="2:7">
      <c r="B77">
        <v>272</v>
      </c>
      <c r="C77">
        <v>0.98380000000000001</v>
      </c>
      <c r="D77" s="1"/>
      <c r="E77" s="1"/>
      <c r="F77" s="1"/>
      <c r="G77">
        <f t="shared" si="1"/>
        <v>272</v>
      </c>
    </row>
    <row r="78" spans="2:7">
      <c r="B78">
        <v>273</v>
      </c>
      <c r="C78">
        <v>0.9758</v>
      </c>
      <c r="D78" s="1"/>
      <c r="E78" s="1"/>
      <c r="F78" s="1"/>
      <c r="G78">
        <f t="shared" si="1"/>
        <v>273</v>
      </c>
    </row>
    <row r="79" spans="2:7">
      <c r="B79">
        <v>274</v>
      </c>
      <c r="C79">
        <v>0.96789999999999998</v>
      </c>
      <c r="D79" s="1"/>
      <c r="E79" s="1"/>
      <c r="F79" s="1"/>
      <c r="G79">
        <f t="shared" si="1"/>
        <v>274</v>
      </c>
    </row>
    <row r="80" spans="2:7">
      <c r="B80">
        <v>275</v>
      </c>
      <c r="C80">
        <v>0.96</v>
      </c>
      <c r="D80" s="1"/>
      <c r="E80" s="1"/>
      <c r="F80" s="1"/>
      <c r="G80">
        <f t="shared" si="1"/>
        <v>275</v>
      </c>
    </row>
    <row r="81" spans="2:7">
      <c r="B81">
        <v>276</v>
      </c>
      <c r="C81">
        <v>0.94340000000000002</v>
      </c>
      <c r="D81" s="1"/>
      <c r="E81" s="1"/>
      <c r="F81" s="1"/>
      <c r="G81">
        <f t="shared" si="1"/>
        <v>276</v>
      </c>
    </row>
    <row r="82" spans="2:7">
      <c r="B82">
        <v>277</v>
      </c>
      <c r="C82">
        <v>0.92720000000000002</v>
      </c>
      <c r="D82" s="1"/>
      <c r="E82" s="1"/>
      <c r="F82" s="1"/>
      <c r="G82">
        <f t="shared" si="1"/>
        <v>277</v>
      </c>
    </row>
    <row r="83" spans="2:7">
      <c r="B83">
        <v>278</v>
      </c>
      <c r="C83">
        <v>0.91120000000000001</v>
      </c>
      <c r="D83" s="1"/>
      <c r="E83" s="1"/>
      <c r="F83" s="1"/>
      <c r="G83">
        <f t="shared" si="1"/>
        <v>278</v>
      </c>
    </row>
    <row r="84" spans="2:7">
      <c r="B84">
        <v>279</v>
      </c>
      <c r="C84">
        <v>0.89539999999999997</v>
      </c>
      <c r="D84" s="1"/>
      <c r="E84" s="1"/>
      <c r="F84" s="1"/>
      <c r="G84">
        <f t="shared" si="1"/>
        <v>279</v>
      </c>
    </row>
    <row r="85" spans="2:7">
      <c r="B85">
        <v>280</v>
      </c>
      <c r="C85">
        <v>0.88</v>
      </c>
      <c r="D85" s="1"/>
      <c r="E85" s="1"/>
      <c r="F85" s="1"/>
      <c r="G85">
        <f t="shared" si="1"/>
        <v>280</v>
      </c>
    </row>
    <row r="86" spans="2:7">
      <c r="B86">
        <v>281</v>
      </c>
      <c r="C86">
        <v>0.85680000000000001</v>
      </c>
      <c r="D86" s="1"/>
      <c r="E86" s="1"/>
      <c r="F86" s="1"/>
      <c r="G86">
        <f t="shared" si="1"/>
        <v>281</v>
      </c>
    </row>
    <row r="87" spans="2:7">
      <c r="B87">
        <v>282</v>
      </c>
      <c r="C87">
        <v>0.83420000000000005</v>
      </c>
      <c r="D87" s="1"/>
      <c r="E87" s="1"/>
      <c r="F87" s="1"/>
      <c r="G87">
        <f t="shared" si="1"/>
        <v>282</v>
      </c>
    </row>
    <row r="88" spans="2:7">
      <c r="B88">
        <v>283</v>
      </c>
      <c r="C88">
        <v>0.81220000000000003</v>
      </c>
      <c r="D88" s="1"/>
      <c r="E88" s="1"/>
      <c r="F88" s="1"/>
      <c r="G88">
        <f t="shared" si="1"/>
        <v>283</v>
      </c>
    </row>
    <row r="89" spans="2:7">
      <c r="B89">
        <v>284</v>
      </c>
      <c r="C89">
        <v>0.79079999999999995</v>
      </c>
      <c r="D89" s="1"/>
      <c r="E89" s="1"/>
      <c r="F89" s="1"/>
      <c r="G89">
        <f t="shared" si="1"/>
        <v>284</v>
      </c>
    </row>
    <row r="90" spans="2:7">
      <c r="B90">
        <v>285</v>
      </c>
      <c r="C90">
        <v>0.77</v>
      </c>
      <c r="D90" s="1"/>
      <c r="E90" s="1"/>
      <c r="F90" s="1"/>
      <c r="G90">
        <f t="shared" si="1"/>
        <v>285</v>
      </c>
    </row>
    <row r="91" spans="2:7">
      <c r="B91">
        <v>286</v>
      </c>
      <c r="C91">
        <v>0.74199999999999999</v>
      </c>
      <c r="D91" s="1"/>
      <c r="E91" s="1"/>
      <c r="F91" s="1"/>
      <c r="G91">
        <f t="shared" si="1"/>
        <v>286</v>
      </c>
    </row>
    <row r="92" spans="2:7">
      <c r="B92">
        <v>287</v>
      </c>
      <c r="C92">
        <v>0.71509999999999996</v>
      </c>
      <c r="D92" s="1"/>
      <c r="E92" s="1"/>
      <c r="F92" s="1"/>
      <c r="G92">
        <f t="shared" si="1"/>
        <v>287</v>
      </c>
    </row>
    <row r="93" spans="2:7">
      <c r="B93">
        <v>288</v>
      </c>
      <c r="C93">
        <v>0.68910000000000005</v>
      </c>
      <c r="D93" s="1"/>
      <c r="E93" s="1"/>
      <c r="F93" s="1"/>
      <c r="G93">
        <f t="shared" si="1"/>
        <v>288</v>
      </c>
    </row>
    <row r="94" spans="2:7">
      <c r="B94">
        <v>289</v>
      </c>
      <c r="C94">
        <v>0.66410000000000002</v>
      </c>
      <c r="D94" s="1"/>
      <c r="E94" s="1"/>
      <c r="F94" s="1"/>
      <c r="G94">
        <f t="shared" si="1"/>
        <v>289</v>
      </c>
    </row>
    <row r="95" spans="2:7">
      <c r="B95">
        <v>290</v>
      </c>
      <c r="C95">
        <v>0.64</v>
      </c>
      <c r="D95" s="1"/>
      <c r="E95" s="1"/>
      <c r="F95" s="1"/>
      <c r="G95">
        <f t="shared" si="1"/>
        <v>290</v>
      </c>
    </row>
    <row r="96" spans="2:7">
      <c r="B96">
        <v>291</v>
      </c>
      <c r="C96">
        <v>0.61860000000000004</v>
      </c>
      <c r="D96" s="1"/>
      <c r="E96" s="1"/>
      <c r="F96" s="1"/>
      <c r="G96">
        <f t="shared" si="1"/>
        <v>291</v>
      </c>
    </row>
    <row r="97" spans="2:7">
      <c r="B97">
        <v>292</v>
      </c>
      <c r="C97">
        <v>0.59799999999999998</v>
      </c>
      <c r="D97" s="1"/>
      <c r="E97" s="1"/>
      <c r="F97" s="1"/>
      <c r="G97">
        <f t="shared" si="1"/>
        <v>292</v>
      </c>
    </row>
    <row r="98" spans="2:7">
      <c r="B98">
        <v>293</v>
      </c>
      <c r="C98">
        <v>0.57799999999999996</v>
      </c>
      <c r="D98" s="1"/>
      <c r="E98" s="1"/>
      <c r="F98" s="1"/>
      <c r="G98">
        <f t="shared" si="1"/>
        <v>293</v>
      </c>
    </row>
    <row r="99" spans="2:7">
      <c r="B99">
        <v>294</v>
      </c>
      <c r="C99">
        <v>0.55869999999999997</v>
      </c>
      <c r="D99" s="1"/>
      <c r="E99" s="1"/>
      <c r="F99" s="1"/>
      <c r="G99">
        <f t="shared" si="1"/>
        <v>294</v>
      </c>
    </row>
    <row r="100" spans="2:7">
      <c r="B100">
        <v>295</v>
      </c>
      <c r="C100">
        <v>0.54</v>
      </c>
      <c r="D100" s="1"/>
      <c r="E100" s="1"/>
      <c r="F100" s="1"/>
      <c r="G100">
        <f t="shared" si="1"/>
        <v>295</v>
      </c>
    </row>
    <row r="101" spans="2:7">
      <c r="B101">
        <v>296</v>
      </c>
      <c r="C101">
        <v>0.49840000000000001</v>
      </c>
      <c r="D101" s="1"/>
      <c r="E101" s="1"/>
      <c r="F101" s="1"/>
      <c r="G101">
        <f t="shared" si="1"/>
        <v>296</v>
      </c>
    </row>
    <row r="102" spans="2:7">
      <c r="B102">
        <v>297</v>
      </c>
      <c r="C102">
        <v>0.46</v>
      </c>
      <c r="D102" s="1"/>
      <c r="E102" s="1"/>
      <c r="F102" s="1"/>
      <c r="G102">
        <f t="shared" si="1"/>
        <v>297</v>
      </c>
    </row>
    <row r="103" spans="2:7">
      <c r="B103">
        <v>298</v>
      </c>
      <c r="C103">
        <v>0.39889999999999998</v>
      </c>
      <c r="D103" s="1"/>
      <c r="E103" s="1"/>
      <c r="F103" s="1"/>
      <c r="G103">
        <f t="shared" si="1"/>
        <v>298</v>
      </c>
    </row>
    <row r="104" spans="2:7">
      <c r="B104">
        <v>299</v>
      </c>
      <c r="C104">
        <v>0.34589999999999999</v>
      </c>
      <c r="D104" s="1"/>
      <c r="E104" s="1"/>
      <c r="F104" s="1"/>
      <c r="G104">
        <f t="shared" si="1"/>
        <v>299</v>
      </c>
    </row>
    <row r="105" spans="2:7">
      <c r="B105">
        <v>300</v>
      </c>
      <c r="C105">
        <v>0.3</v>
      </c>
      <c r="D105">
        <v>0.01</v>
      </c>
      <c r="E105" s="1"/>
      <c r="F105" s="1"/>
      <c r="G105">
        <f t="shared" si="1"/>
        <v>300</v>
      </c>
    </row>
    <row r="106" spans="2:7">
      <c r="B106">
        <v>301</v>
      </c>
      <c r="C106">
        <v>0.221</v>
      </c>
      <c r="D106">
        <v>0.01</v>
      </c>
      <c r="E106" s="1"/>
      <c r="F106" s="1"/>
      <c r="G106">
        <f t="shared" si="1"/>
        <v>301</v>
      </c>
    </row>
    <row r="107" spans="2:7">
      <c r="B107">
        <v>302</v>
      </c>
      <c r="C107">
        <v>0.16289999999999999</v>
      </c>
      <c r="D107">
        <v>0.01</v>
      </c>
      <c r="E107" s="1"/>
      <c r="F107" s="1"/>
      <c r="G107">
        <f t="shared" si="1"/>
        <v>302</v>
      </c>
    </row>
    <row r="108" spans="2:7">
      <c r="B108">
        <v>303</v>
      </c>
      <c r="C108">
        <v>0.12</v>
      </c>
      <c r="D108">
        <v>0.01</v>
      </c>
      <c r="E108" s="1"/>
      <c r="F108" s="1"/>
      <c r="G108">
        <f t="shared" si="1"/>
        <v>303</v>
      </c>
    </row>
    <row r="109" spans="2:7">
      <c r="B109">
        <v>304</v>
      </c>
      <c r="C109">
        <v>8.4900000000000003E-2</v>
      </c>
      <c r="D109">
        <v>0.01</v>
      </c>
      <c r="E109" s="1"/>
      <c r="F109" s="1"/>
      <c r="G109">
        <f t="shared" si="1"/>
        <v>304</v>
      </c>
    </row>
    <row r="110" spans="2:7">
      <c r="B110">
        <v>305</v>
      </c>
      <c r="C110">
        <v>0.06</v>
      </c>
      <c r="D110">
        <v>0.01</v>
      </c>
      <c r="E110" s="1"/>
      <c r="F110" s="1"/>
      <c r="G110">
        <f t="shared" si="1"/>
        <v>305</v>
      </c>
    </row>
    <row r="111" spans="2:7">
      <c r="B111">
        <v>306</v>
      </c>
      <c r="C111">
        <v>4.5400000000000003E-2</v>
      </c>
      <c r="D111">
        <v>0.01</v>
      </c>
      <c r="E111" s="1"/>
      <c r="F111" s="1"/>
      <c r="G111">
        <f t="shared" si="1"/>
        <v>306</v>
      </c>
    </row>
    <row r="112" spans="2:7">
      <c r="B112">
        <v>307</v>
      </c>
      <c r="C112">
        <v>3.44E-2</v>
      </c>
      <c r="D112">
        <v>0.01</v>
      </c>
      <c r="E112" s="1"/>
      <c r="F112" s="1"/>
      <c r="G112">
        <f t="shared" si="1"/>
        <v>307</v>
      </c>
    </row>
    <row r="113" spans="2:7">
      <c r="B113">
        <v>308</v>
      </c>
      <c r="C113">
        <v>2.5999999999999999E-2</v>
      </c>
      <c r="D113">
        <v>0.01</v>
      </c>
      <c r="E113" s="1"/>
      <c r="F113" s="1"/>
      <c r="G113">
        <f t="shared" si="1"/>
        <v>308</v>
      </c>
    </row>
    <row r="114" spans="2:7">
      <c r="B114">
        <v>309</v>
      </c>
      <c r="C114">
        <v>1.9699999999999999E-2</v>
      </c>
      <c r="D114">
        <v>0.01</v>
      </c>
      <c r="E114" s="1"/>
      <c r="F114" s="1"/>
      <c r="G114">
        <f t="shared" si="1"/>
        <v>309</v>
      </c>
    </row>
    <row r="115" spans="2:7">
      <c r="B115">
        <v>310</v>
      </c>
      <c r="C115">
        <v>1.4999999999999999E-2</v>
      </c>
      <c r="D115">
        <v>0.01</v>
      </c>
      <c r="E115" s="1"/>
      <c r="F115" s="1"/>
      <c r="G115">
        <f t="shared" si="1"/>
        <v>310</v>
      </c>
    </row>
    <row r="116" spans="2:7">
      <c r="B116">
        <v>311</v>
      </c>
      <c r="C116">
        <v>1.11E-2</v>
      </c>
      <c r="D116">
        <v>0.01</v>
      </c>
      <c r="E116" s="1"/>
      <c r="F116" s="1"/>
      <c r="G116">
        <f t="shared" si="1"/>
        <v>311</v>
      </c>
    </row>
    <row r="117" spans="2:7">
      <c r="B117">
        <v>312</v>
      </c>
      <c r="C117">
        <v>8.0999999999999996E-3</v>
      </c>
      <c r="D117">
        <v>0.01</v>
      </c>
      <c r="E117" s="1"/>
      <c r="F117" s="1"/>
      <c r="G117">
        <f t="shared" si="1"/>
        <v>312</v>
      </c>
    </row>
    <row r="118" spans="2:7">
      <c r="B118">
        <v>313</v>
      </c>
      <c r="C118">
        <v>6.0000000000000001E-3</v>
      </c>
      <c r="D118">
        <v>0.01</v>
      </c>
      <c r="E118" s="1"/>
      <c r="F118" s="1"/>
      <c r="G118">
        <f t="shared" si="1"/>
        <v>313</v>
      </c>
    </row>
    <row r="119" spans="2:7">
      <c r="B119">
        <v>314</v>
      </c>
      <c r="C119">
        <v>4.1999999999999997E-3</v>
      </c>
      <c r="D119">
        <v>0.01</v>
      </c>
      <c r="E119" s="1"/>
      <c r="F119" s="1"/>
      <c r="G119">
        <f t="shared" si="1"/>
        <v>314</v>
      </c>
    </row>
    <row r="120" spans="2:7">
      <c r="B120">
        <v>315</v>
      </c>
      <c r="C120">
        <v>3.0000000000000001E-3</v>
      </c>
      <c r="D120">
        <v>0.01</v>
      </c>
      <c r="E120" s="1"/>
      <c r="F120" s="1"/>
      <c r="G120">
        <f t="shared" si="1"/>
        <v>315</v>
      </c>
    </row>
    <row r="121" spans="2:7">
      <c r="B121">
        <v>316</v>
      </c>
      <c r="C121">
        <v>2.3999999999999998E-3</v>
      </c>
      <c r="D121">
        <v>0.01</v>
      </c>
      <c r="E121" s="1"/>
      <c r="F121" s="1"/>
      <c r="G121">
        <f t="shared" si="1"/>
        <v>316</v>
      </c>
    </row>
    <row r="122" spans="2:7">
      <c r="B122">
        <v>317</v>
      </c>
      <c r="C122">
        <v>2E-3</v>
      </c>
      <c r="D122">
        <v>0.01</v>
      </c>
      <c r="E122" s="1"/>
      <c r="F122" s="1"/>
      <c r="G122">
        <f t="shared" si="1"/>
        <v>317</v>
      </c>
    </row>
    <row r="123" spans="2:7">
      <c r="B123">
        <v>318</v>
      </c>
      <c r="C123">
        <v>1.6000000000000001E-3</v>
      </c>
      <c r="D123">
        <v>0.01</v>
      </c>
      <c r="E123" s="1"/>
      <c r="F123" s="1"/>
      <c r="G123">
        <f t="shared" si="1"/>
        <v>318</v>
      </c>
    </row>
    <row r="124" spans="2:7">
      <c r="B124">
        <v>319</v>
      </c>
      <c r="C124">
        <v>1.1999999999999999E-3</v>
      </c>
      <c r="D124">
        <v>0.01</v>
      </c>
      <c r="E124" s="1"/>
      <c r="F124" s="1"/>
      <c r="G124">
        <f t="shared" si="1"/>
        <v>319</v>
      </c>
    </row>
    <row r="125" spans="2:7">
      <c r="B125">
        <v>320</v>
      </c>
      <c r="C125">
        <v>1E-3</v>
      </c>
      <c r="D125">
        <v>0.01</v>
      </c>
      <c r="E125" s="1"/>
      <c r="F125" s="1"/>
      <c r="G125">
        <f t="shared" si="1"/>
        <v>320</v>
      </c>
    </row>
    <row r="126" spans="2:7">
      <c r="B126">
        <v>321</v>
      </c>
      <c r="C126">
        <v>8.1899999999999996E-4</v>
      </c>
      <c r="D126">
        <v>0.01</v>
      </c>
      <c r="E126" s="1"/>
      <c r="F126" s="1"/>
      <c r="G126">
        <f t="shared" si="1"/>
        <v>321</v>
      </c>
    </row>
    <row r="127" spans="2:7">
      <c r="B127">
        <v>322</v>
      </c>
      <c r="C127">
        <v>6.7000000000000002E-4</v>
      </c>
      <c r="D127">
        <v>0.01</v>
      </c>
      <c r="E127" s="1"/>
      <c r="F127" s="1"/>
      <c r="G127">
        <f t="shared" si="1"/>
        <v>322</v>
      </c>
    </row>
    <row r="128" spans="2:7">
      <c r="B128">
        <v>323</v>
      </c>
      <c r="C128">
        <v>5.4000000000000001E-4</v>
      </c>
      <c r="D128">
        <v>0.01</v>
      </c>
      <c r="E128" s="1"/>
      <c r="F128" s="1"/>
      <c r="G128">
        <f t="shared" si="1"/>
        <v>323</v>
      </c>
    </row>
    <row r="129" spans="2:7">
      <c r="B129">
        <v>324</v>
      </c>
      <c r="C129">
        <v>5.1999999999999995E-4</v>
      </c>
      <c r="D129">
        <v>0.01</v>
      </c>
      <c r="E129" s="1"/>
      <c r="F129" s="1"/>
      <c r="G129">
        <f t="shared" si="1"/>
        <v>324</v>
      </c>
    </row>
    <row r="130" spans="2:7">
      <c r="B130">
        <v>325</v>
      </c>
      <c r="C130">
        <v>5.0000000000000001E-4</v>
      </c>
      <c r="D130">
        <v>0.01</v>
      </c>
      <c r="E130" s="1"/>
      <c r="F130" s="1"/>
      <c r="G130">
        <f t="shared" si="1"/>
        <v>325</v>
      </c>
    </row>
    <row r="131" spans="2:7">
      <c r="B131">
        <v>326</v>
      </c>
      <c r="C131">
        <v>4.7899999999999999E-4</v>
      </c>
      <c r="D131">
        <v>0.01</v>
      </c>
      <c r="E131" s="1"/>
      <c r="F131" s="1"/>
      <c r="G131">
        <f t="shared" si="1"/>
        <v>326</v>
      </c>
    </row>
    <row r="132" spans="2:7">
      <c r="B132">
        <v>327</v>
      </c>
      <c r="C132">
        <v>4.5899999999999999E-4</v>
      </c>
      <c r="D132">
        <v>0.01</v>
      </c>
      <c r="E132" s="1"/>
      <c r="F132" s="1"/>
      <c r="G132">
        <f t="shared" si="1"/>
        <v>327</v>
      </c>
    </row>
    <row r="133" spans="2:7">
      <c r="B133">
        <v>328</v>
      </c>
      <c r="C133">
        <v>4.4000000000000002E-4</v>
      </c>
      <c r="D133">
        <v>0.01</v>
      </c>
      <c r="E133" s="1"/>
      <c r="F133" s="1"/>
      <c r="G133">
        <f t="shared" si="1"/>
        <v>328</v>
      </c>
    </row>
    <row r="134" spans="2:7">
      <c r="B134">
        <v>329</v>
      </c>
      <c r="C134">
        <v>4.2499999999999998E-4</v>
      </c>
      <c r="D134">
        <v>0.01</v>
      </c>
      <c r="E134" s="1"/>
      <c r="F134" s="1"/>
      <c r="G134">
        <f t="shared" ref="G134:G197" si="2">B134</f>
        <v>329</v>
      </c>
    </row>
    <row r="135" spans="2:7">
      <c r="B135">
        <v>330</v>
      </c>
      <c r="C135">
        <v>4.0999999999999999E-4</v>
      </c>
      <c r="D135">
        <v>0.01</v>
      </c>
      <c r="E135" s="1"/>
      <c r="F135" s="1"/>
      <c r="G135">
        <f t="shared" si="2"/>
        <v>330</v>
      </c>
    </row>
    <row r="136" spans="2:7">
      <c r="B136">
        <v>331</v>
      </c>
      <c r="C136">
        <v>3.9599999999999998E-4</v>
      </c>
      <c r="D136">
        <v>0.01</v>
      </c>
      <c r="E136" s="1"/>
      <c r="F136" s="1"/>
      <c r="G136">
        <f t="shared" si="2"/>
        <v>331</v>
      </c>
    </row>
    <row r="137" spans="2:7">
      <c r="B137">
        <v>332</v>
      </c>
      <c r="C137">
        <v>3.8299999999999999E-4</v>
      </c>
      <c r="D137">
        <v>0.01</v>
      </c>
      <c r="E137" s="1"/>
      <c r="F137" s="1"/>
      <c r="G137">
        <f t="shared" si="2"/>
        <v>332</v>
      </c>
    </row>
    <row r="138" spans="2:7">
      <c r="B138">
        <v>333</v>
      </c>
      <c r="C138">
        <v>3.6999999999999999E-4</v>
      </c>
      <c r="D138">
        <v>0.01</v>
      </c>
      <c r="E138" s="1"/>
      <c r="F138" s="1"/>
      <c r="G138">
        <f t="shared" si="2"/>
        <v>333</v>
      </c>
    </row>
    <row r="139" spans="2:7">
      <c r="B139">
        <v>334</v>
      </c>
      <c r="C139">
        <v>3.5500000000000001E-4</v>
      </c>
      <c r="D139">
        <v>0.01</v>
      </c>
      <c r="E139" s="1"/>
      <c r="F139" s="1"/>
      <c r="G139">
        <f t="shared" si="2"/>
        <v>334</v>
      </c>
    </row>
    <row r="140" spans="2:7">
      <c r="B140">
        <v>335</v>
      </c>
      <c r="C140">
        <v>3.4000000000000002E-4</v>
      </c>
      <c r="D140">
        <v>0.01</v>
      </c>
      <c r="E140" s="1"/>
      <c r="F140" s="1"/>
      <c r="G140">
        <f t="shared" si="2"/>
        <v>335</v>
      </c>
    </row>
    <row r="141" spans="2:7">
      <c r="B141">
        <v>336</v>
      </c>
      <c r="C141">
        <v>3.2699999999999998E-4</v>
      </c>
      <c r="D141">
        <v>0.01</v>
      </c>
      <c r="E141" s="1"/>
      <c r="F141" s="1"/>
      <c r="G141">
        <f t="shared" si="2"/>
        <v>336</v>
      </c>
    </row>
    <row r="142" spans="2:7">
      <c r="B142">
        <v>337</v>
      </c>
      <c r="C142">
        <v>3.1500000000000001E-4</v>
      </c>
      <c r="D142">
        <v>0.01</v>
      </c>
      <c r="E142" s="1"/>
      <c r="F142" s="1"/>
      <c r="G142">
        <f t="shared" si="2"/>
        <v>337</v>
      </c>
    </row>
    <row r="143" spans="2:7">
      <c r="B143">
        <v>338</v>
      </c>
      <c r="C143">
        <v>3.0299999999999999E-4</v>
      </c>
      <c r="D143">
        <v>0.01</v>
      </c>
      <c r="E143" s="1"/>
      <c r="F143" s="1"/>
      <c r="G143">
        <f t="shared" si="2"/>
        <v>338</v>
      </c>
    </row>
    <row r="144" spans="2:7">
      <c r="B144">
        <v>339</v>
      </c>
      <c r="C144">
        <v>2.9100000000000003E-4</v>
      </c>
      <c r="D144">
        <v>0.01</v>
      </c>
      <c r="E144" s="1"/>
      <c r="F144" s="1"/>
      <c r="G144">
        <f t="shared" si="2"/>
        <v>339</v>
      </c>
    </row>
    <row r="145" spans="2:7">
      <c r="B145">
        <v>340</v>
      </c>
      <c r="C145">
        <v>2.7999999999999998E-4</v>
      </c>
      <c r="D145">
        <v>0.01</v>
      </c>
      <c r="E145" s="1"/>
      <c r="F145" s="1"/>
      <c r="G145">
        <f t="shared" si="2"/>
        <v>340</v>
      </c>
    </row>
    <row r="146" spans="2:7">
      <c r="B146">
        <v>341</v>
      </c>
      <c r="C146">
        <v>2.7099999999999997E-4</v>
      </c>
      <c r="D146">
        <v>0.01</v>
      </c>
      <c r="E146" s="1"/>
      <c r="F146" s="1"/>
      <c r="G146">
        <f t="shared" si="2"/>
        <v>341</v>
      </c>
    </row>
    <row r="147" spans="2:7">
      <c r="B147">
        <v>342</v>
      </c>
      <c r="C147">
        <v>2.63E-4</v>
      </c>
      <c r="D147">
        <v>0.01</v>
      </c>
      <c r="E147" s="1"/>
      <c r="F147" s="1"/>
      <c r="G147">
        <f t="shared" si="2"/>
        <v>342</v>
      </c>
    </row>
    <row r="148" spans="2:7">
      <c r="B148">
        <v>343</v>
      </c>
      <c r="C148">
        <v>2.5500000000000002E-4</v>
      </c>
      <c r="D148">
        <v>0.01</v>
      </c>
      <c r="E148" s="1"/>
      <c r="F148" s="1"/>
      <c r="G148">
        <f t="shared" si="2"/>
        <v>343</v>
      </c>
    </row>
    <row r="149" spans="2:7">
      <c r="B149">
        <v>344</v>
      </c>
      <c r="C149">
        <v>2.4800000000000001E-4</v>
      </c>
      <c r="D149">
        <v>0.01</v>
      </c>
      <c r="E149" s="1"/>
      <c r="F149" s="1"/>
      <c r="G149">
        <f t="shared" si="2"/>
        <v>344</v>
      </c>
    </row>
    <row r="150" spans="2:7">
      <c r="B150">
        <v>345</v>
      </c>
      <c r="C150">
        <v>2.4000000000000001E-4</v>
      </c>
      <c r="D150">
        <v>0.01</v>
      </c>
      <c r="E150" s="1"/>
      <c r="F150" s="1"/>
      <c r="G150">
        <f t="shared" si="2"/>
        <v>345</v>
      </c>
    </row>
    <row r="151" spans="2:7">
      <c r="B151">
        <v>346</v>
      </c>
      <c r="C151">
        <v>2.31E-4</v>
      </c>
      <c r="D151">
        <v>0.01</v>
      </c>
      <c r="E151" s="1"/>
      <c r="F151" s="1"/>
      <c r="G151">
        <f t="shared" si="2"/>
        <v>346</v>
      </c>
    </row>
    <row r="152" spans="2:7">
      <c r="B152">
        <v>347</v>
      </c>
      <c r="C152">
        <v>2.23E-4</v>
      </c>
      <c r="D152">
        <v>0.01</v>
      </c>
      <c r="E152" s="1"/>
      <c r="F152" s="1"/>
      <c r="G152">
        <f t="shared" si="2"/>
        <v>347</v>
      </c>
    </row>
    <row r="153" spans="2:7">
      <c r="B153">
        <v>348</v>
      </c>
      <c r="C153">
        <v>2.1499999999999999E-4</v>
      </c>
      <c r="D153">
        <v>0.01</v>
      </c>
      <c r="E153" s="1"/>
      <c r="F153" s="1"/>
      <c r="G153">
        <f t="shared" si="2"/>
        <v>348</v>
      </c>
    </row>
    <row r="154" spans="2:7">
      <c r="B154">
        <v>349</v>
      </c>
      <c r="C154">
        <v>2.0699999999999999E-4</v>
      </c>
      <c r="D154">
        <v>0.01</v>
      </c>
      <c r="E154" s="1"/>
      <c r="F154" s="1"/>
      <c r="G154">
        <f t="shared" si="2"/>
        <v>349</v>
      </c>
    </row>
    <row r="155" spans="2:7">
      <c r="B155">
        <v>350</v>
      </c>
      <c r="C155">
        <v>2.0000000000000001E-4</v>
      </c>
      <c r="D155">
        <v>0.01</v>
      </c>
      <c r="E155" s="1"/>
      <c r="F155" s="1"/>
      <c r="G155">
        <f t="shared" si="2"/>
        <v>350</v>
      </c>
    </row>
    <row r="156" spans="2:7">
      <c r="B156">
        <v>351</v>
      </c>
      <c r="C156">
        <v>1.9100000000000001E-4</v>
      </c>
      <c r="D156">
        <v>0.01</v>
      </c>
      <c r="E156" s="1"/>
      <c r="F156" s="1"/>
      <c r="G156">
        <f t="shared" si="2"/>
        <v>351</v>
      </c>
    </row>
    <row r="157" spans="2:7">
      <c r="B157">
        <v>352</v>
      </c>
      <c r="C157">
        <v>1.83E-4</v>
      </c>
      <c r="D157">
        <v>0.01</v>
      </c>
      <c r="E157" s="1"/>
      <c r="F157" s="1"/>
      <c r="G157">
        <f t="shared" si="2"/>
        <v>352</v>
      </c>
    </row>
    <row r="158" spans="2:7">
      <c r="B158">
        <v>353</v>
      </c>
      <c r="C158">
        <v>1.75E-4</v>
      </c>
      <c r="D158">
        <v>0.01</v>
      </c>
      <c r="E158" s="1"/>
      <c r="F158" s="1"/>
      <c r="G158">
        <f t="shared" si="2"/>
        <v>353</v>
      </c>
    </row>
    <row r="159" spans="2:7">
      <c r="B159">
        <v>354</v>
      </c>
      <c r="C159">
        <v>1.6699999999999999E-4</v>
      </c>
      <c r="D159">
        <v>0.01</v>
      </c>
      <c r="E159" s="1"/>
      <c r="F159" s="1"/>
      <c r="G159">
        <f t="shared" si="2"/>
        <v>354</v>
      </c>
    </row>
    <row r="160" spans="2:7">
      <c r="B160">
        <v>355</v>
      </c>
      <c r="C160">
        <v>1.6000000000000001E-4</v>
      </c>
      <c r="D160">
        <v>0.01</v>
      </c>
      <c r="E160" s="1"/>
      <c r="F160" s="1"/>
      <c r="G160">
        <f t="shared" si="2"/>
        <v>355</v>
      </c>
    </row>
    <row r="161" spans="2:7">
      <c r="B161">
        <v>356</v>
      </c>
      <c r="C161">
        <v>1.5300000000000001E-4</v>
      </c>
      <c r="D161">
        <v>0.01</v>
      </c>
      <c r="E161" s="1"/>
      <c r="F161" s="1"/>
      <c r="G161">
        <f t="shared" si="2"/>
        <v>356</v>
      </c>
    </row>
    <row r="162" spans="2:7">
      <c r="B162">
        <v>357</v>
      </c>
      <c r="C162">
        <v>1.47E-4</v>
      </c>
      <c r="D162">
        <v>0.01</v>
      </c>
      <c r="E162" s="1"/>
      <c r="F162" s="1"/>
      <c r="G162">
        <f t="shared" si="2"/>
        <v>357</v>
      </c>
    </row>
    <row r="163" spans="2:7">
      <c r="B163">
        <v>358</v>
      </c>
      <c r="C163">
        <v>1.4100000000000001E-4</v>
      </c>
      <c r="D163">
        <v>0.01</v>
      </c>
      <c r="E163" s="1"/>
      <c r="F163" s="1"/>
      <c r="G163">
        <f t="shared" si="2"/>
        <v>358</v>
      </c>
    </row>
    <row r="164" spans="2:7">
      <c r="B164">
        <v>359</v>
      </c>
      <c r="C164">
        <v>1.36E-4</v>
      </c>
      <c r="D164">
        <v>0.01</v>
      </c>
      <c r="E164" s="1"/>
      <c r="F164" s="1"/>
      <c r="G164">
        <f t="shared" si="2"/>
        <v>359</v>
      </c>
    </row>
    <row r="165" spans="2:7">
      <c r="B165">
        <v>360</v>
      </c>
      <c r="C165">
        <v>1.2999999999999999E-4</v>
      </c>
      <c r="D165">
        <v>0.01</v>
      </c>
      <c r="E165" s="1"/>
      <c r="F165" s="1"/>
      <c r="G165">
        <f t="shared" si="2"/>
        <v>360</v>
      </c>
    </row>
    <row r="166" spans="2:7">
      <c r="B166">
        <v>361</v>
      </c>
      <c r="C166">
        <v>1.26E-4</v>
      </c>
      <c r="D166">
        <v>0.01</v>
      </c>
      <c r="E166" s="1"/>
      <c r="F166" s="1"/>
      <c r="G166">
        <f t="shared" si="2"/>
        <v>361</v>
      </c>
    </row>
    <row r="167" spans="2:7">
      <c r="B167">
        <v>362</v>
      </c>
      <c r="C167">
        <v>1.22E-4</v>
      </c>
      <c r="D167">
        <v>0.01</v>
      </c>
      <c r="E167" s="1"/>
      <c r="F167" s="1"/>
      <c r="G167">
        <f t="shared" si="2"/>
        <v>362</v>
      </c>
    </row>
    <row r="168" spans="2:7">
      <c r="B168">
        <v>363</v>
      </c>
      <c r="C168">
        <v>1.18E-4</v>
      </c>
      <c r="D168">
        <v>0.01</v>
      </c>
      <c r="E168" s="1"/>
      <c r="F168" s="1"/>
      <c r="G168">
        <f t="shared" si="2"/>
        <v>363</v>
      </c>
    </row>
    <row r="169" spans="2:7">
      <c r="B169">
        <v>364</v>
      </c>
      <c r="C169">
        <v>1.1400000000000001E-4</v>
      </c>
      <c r="D169">
        <v>0.01</v>
      </c>
      <c r="E169" s="1"/>
      <c r="F169" s="1"/>
      <c r="G169">
        <f t="shared" si="2"/>
        <v>364</v>
      </c>
    </row>
    <row r="170" spans="2:7">
      <c r="B170">
        <v>365</v>
      </c>
      <c r="C170">
        <v>1.1E-4</v>
      </c>
      <c r="D170">
        <v>0.01</v>
      </c>
      <c r="E170" s="1"/>
      <c r="F170" s="1"/>
      <c r="G170">
        <f t="shared" si="2"/>
        <v>365</v>
      </c>
    </row>
    <row r="171" spans="2:7">
      <c r="B171">
        <v>366</v>
      </c>
      <c r="C171">
        <v>1.06E-4</v>
      </c>
      <c r="D171">
        <v>0.01</v>
      </c>
      <c r="E171" s="1"/>
      <c r="F171" s="1"/>
      <c r="G171">
        <f t="shared" si="2"/>
        <v>366</v>
      </c>
    </row>
    <row r="172" spans="2:7">
      <c r="B172">
        <v>367</v>
      </c>
      <c r="C172">
        <v>1.03E-4</v>
      </c>
      <c r="D172">
        <v>0.01</v>
      </c>
      <c r="E172" s="1"/>
      <c r="F172" s="1"/>
      <c r="G172">
        <f t="shared" si="2"/>
        <v>367</v>
      </c>
    </row>
    <row r="173" spans="2:7">
      <c r="B173">
        <v>368</v>
      </c>
      <c r="C173">
        <v>9.8999999999999994E-5</v>
      </c>
      <c r="D173">
        <v>0.01</v>
      </c>
      <c r="E173" s="1"/>
      <c r="F173" s="1"/>
      <c r="G173">
        <f t="shared" si="2"/>
        <v>368</v>
      </c>
    </row>
    <row r="174" spans="2:7">
      <c r="B174">
        <v>369</v>
      </c>
      <c r="C174">
        <v>9.6000000000000002E-5</v>
      </c>
      <c r="D174">
        <v>0.01</v>
      </c>
      <c r="E174" s="1"/>
      <c r="F174" s="1"/>
      <c r="G174">
        <f t="shared" si="2"/>
        <v>369</v>
      </c>
    </row>
    <row r="175" spans="2:7">
      <c r="B175">
        <v>370</v>
      </c>
      <c r="C175">
        <v>9.2999999999999997E-5</v>
      </c>
      <c r="D175">
        <v>0.01</v>
      </c>
      <c r="E175" s="1"/>
      <c r="F175" s="1"/>
      <c r="G175">
        <f t="shared" si="2"/>
        <v>370</v>
      </c>
    </row>
    <row r="176" spans="2:7">
      <c r="B176">
        <v>371</v>
      </c>
      <c r="C176">
        <v>9.0000000000000006E-5</v>
      </c>
      <c r="D176">
        <v>0.01</v>
      </c>
      <c r="E176" s="1"/>
      <c r="F176" s="1"/>
      <c r="G176">
        <f t="shared" si="2"/>
        <v>371</v>
      </c>
    </row>
    <row r="177" spans="2:7">
      <c r="B177">
        <v>372</v>
      </c>
      <c r="C177">
        <v>8.6000000000000003E-5</v>
      </c>
      <c r="D177">
        <v>0.01</v>
      </c>
      <c r="E177" s="1"/>
      <c r="F177" s="1"/>
      <c r="G177">
        <f t="shared" si="2"/>
        <v>372</v>
      </c>
    </row>
    <row r="178" spans="2:7">
      <c r="B178">
        <v>373</v>
      </c>
      <c r="C178">
        <v>8.2999999999999998E-5</v>
      </c>
      <c r="D178">
        <v>0.01</v>
      </c>
      <c r="E178" s="1"/>
      <c r="F178" s="1"/>
      <c r="G178">
        <f t="shared" si="2"/>
        <v>373</v>
      </c>
    </row>
    <row r="179" spans="2:7">
      <c r="B179">
        <v>374</v>
      </c>
      <c r="C179">
        <v>8.0000000000000007E-5</v>
      </c>
      <c r="D179">
        <v>0.01</v>
      </c>
      <c r="E179" s="1"/>
      <c r="F179" s="1"/>
      <c r="G179">
        <f t="shared" si="2"/>
        <v>374</v>
      </c>
    </row>
    <row r="180" spans="2:7">
      <c r="B180">
        <v>375</v>
      </c>
      <c r="C180">
        <v>7.7000000000000001E-5</v>
      </c>
      <c r="D180">
        <v>0.01</v>
      </c>
      <c r="E180" s="1"/>
      <c r="F180" s="1"/>
      <c r="G180">
        <f t="shared" si="2"/>
        <v>375</v>
      </c>
    </row>
    <row r="181" spans="2:7">
      <c r="B181">
        <v>376</v>
      </c>
      <c r="C181">
        <v>7.3999999999999996E-5</v>
      </c>
      <c r="D181">
        <v>0.01</v>
      </c>
      <c r="E181" s="1"/>
      <c r="F181" s="1"/>
      <c r="G181">
        <f t="shared" si="2"/>
        <v>376</v>
      </c>
    </row>
    <row r="182" spans="2:7">
      <c r="B182">
        <v>377</v>
      </c>
      <c r="C182">
        <v>7.2000000000000002E-5</v>
      </c>
      <c r="D182">
        <v>0.01</v>
      </c>
      <c r="E182" s="1"/>
      <c r="F182" s="1"/>
      <c r="G182">
        <f t="shared" si="2"/>
        <v>377</v>
      </c>
    </row>
    <row r="183" spans="2:7">
      <c r="B183">
        <v>378</v>
      </c>
      <c r="C183">
        <v>6.8999999999999997E-5</v>
      </c>
      <c r="D183">
        <v>0.01</v>
      </c>
      <c r="E183" s="1"/>
      <c r="F183" s="1"/>
      <c r="G183">
        <f t="shared" si="2"/>
        <v>378</v>
      </c>
    </row>
    <row r="184" spans="2:7">
      <c r="B184">
        <v>379</v>
      </c>
      <c r="C184">
        <v>6.6000000000000005E-5</v>
      </c>
      <c r="D184">
        <v>0.01</v>
      </c>
      <c r="E184" s="1"/>
      <c r="F184" s="1"/>
      <c r="G184">
        <f t="shared" si="2"/>
        <v>379</v>
      </c>
    </row>
    <row r="185" spans="2:7">
      <c r="B185">
        <v>380</v>
      </c>
      <c r="C185">
        <v>6.3999999999999997E-5</v>
      </c>
      <c r="D185">
        <v>0.01</v>
      </c>
      <c r="E185">
        <v>0.1</v>
      </c>
      <c r="F185">
        <v>3.8999999999999999E-5</v>
      </c>
      <c r="G185">
        <f t="shared" si="2"/>
        <v>380</v>
      </c>
    </row>
    <row r="186" spans="2:7">
      <c r="B186">
        <v>381</v>
      </c>
      <c r="C186">
        <v>6.2000000000000003E-5</v>
      </c>
      <c r="D186">
        <v>1.053874E-2</v>
      </c>
      <c r="E186">
        <v>0.10538739499999999</v>
      </c>
      <c r="F186">
        <v>4.3614339888676929E-5</v>
      </c>
      <c r="G186">
        <f t="shared" si="2"/>
        <v>381</v>
      </c>
    </row>
    <row r="187" spans="2:7">
      <c r="B187">
        <v>382</v>
      </c>
      <c r="C187">
        <v>5.8999999999999998E-5</v>
      </c>
      <c r="D187">
        <v>1.1106503E-2</v>
      </c>
      <c r="E187">
        <v>0.11106503099999999</v>
      </c>
      <c r="F187">
        <v>4.784301966603079E-5</v>
      </c>
      <c r="G187">
        <f t="shared" si="2"/>
        <v>382</v>
      </c>
    </row>
    <row r="188" spans="2:7">
      <c r="B188">
        <v>383</v>
      </c>
      <c r="C188">
        <v>5.7000000000000003E-5</v>
      </c>
      <c r="D188">
        <v>1.1704854000000001E-2</v>
      </c>
      <c r="E188">
        <v>0.117048543</v>
      </c>
      <c r="F188">
        <v>5.2264529499046185E-5</v>
      </c>
      <c r="G188">
        <f t="shared" si="2"/>
        <v>383</v>
      </c>
    </row>
    <row r="189" spans="2:7">
      <c r="B189">
        <v>384</v>
      </c>
      <c r="C189">
        <v>5.5000000000000002E-5</v>
      </c>
      <c r="D189">
        <v>1.2335441000000001E-2</v>
      </c>
      <c r="E189">
        <v>0.12335441</v>
      </c>
      <c r="F189">
        <v>5.7457359554707719E-5</v>
      </c>
      <c r="G189">
        <f t="shared" si="2"/>
        <v>384</v>
      </c>
    </row>
    <row r="190" spans="2:7">
      <c r="B190">
        <v>385</v>
      </c>
      <c r="C190">
        <v>5.3000000000000001E-5</v>
      </c>
      <c r="D190">
        <v>1.2999999999999999E-2</v>
      </c>
      <c r="E190">
        <v>0.13</v>
      </c>
      <c r="F190">
        <v>6.3999999999999997E-5</v>
      </c>
      <c r="G190">
        <f t="shared" si="2"/>
        <v>385</v>
      </c>
    </row>
    <row r="191" spans="2:7">
      <c r="B191">
        <v>386</v>
      </c>
      <c r="C191">
        <v>5.1E-5</v>
      </c>
      <c r="D191">
        <v>1.48164E-2</v>
      </c>
      <c r="E191">
        <v>0.14816399599999999</v>
      </c>
      <c r="F191">
        <v>7.2333280890584555E-5</v>
      </c>
      <c r="G191">
        <f t="shared" si="2"/>
        <v>386</v>
      </c>
    </row>
    <row r="192" spans="2:7">
      <c r="B192">
        <v>387</v>
      </c>
      <c r="C192">
        <v>4.8999999999999998E-5</v>
      </c>
      <c r="D192">
        <v>1.6886591999999999E-2</v>
      </c>
      <c r="E192">
        <v>0.168865922</v>
      </c>
      <c r="F192">
        <v>8.2347391836830658E-5</v>
      </c>
      <c r="G192">
        <f t="shared" si="2"/>
        <v>387</v>
      </c>
    </row>
    <row r="193" spans="2:7">
      <c r="B193">
        <v>388</v>
      </c>
      <c r="C193">
        <v>4.6999999999999997E-5</v>
      </c>
      <c r="D193">
        <v>1.9246038E-2</v>
      </c>
      <c r="E193">
        <v>0.19246038300000001</v>
      </c>
      <c r="F193">
        <v>9.3794862337784476E-5</v>
      </c>
      <c r="G193">
        <f t="shared" si="2"/>
        <v>388</v>
      </c>
    </row>
    <row r="194" spans="2:7">
      <c r="B194">
        <v>389</v>
      </c>
      <c r="C194">
        <v>4.6E-5</v>
      </c>
      <c r="D194">
        <v>2.1935152999999999E-2</v>
      </c>
      <c r="E194">
        <v>0.21935153499999999</v>
      </c>
      <c r="F194">
        <v>1.0642822189249219E-4</v>
      </c>
      <c r="G194">
        <f t="shared" si="2"/>
        <v>389</v>
      </c>
    </row>
    <row r="195" spans="2:7">
      <c r="B195">
        <v>390</v>
      </c>
      <c r="C195">
        <v>4.3999999999999999E-5</v>
      </c>
      <c r="D195">
        <v>2.5000000000000001E-2</v>
      </c>
      <c r="E195">
        <v>0.25</v>
      </c>
      <c r="F195">
        <v>1.2E-4</v>
      </c>
      <c r="G195">
        <f t="shared" si="2"/>
        <v>390</v>
      </c>
    </row>
    <row r="196" spans="2:7">
      <c r="B196">
        <v>391</v>
      </c>
      <c r="C196">
        <v>4.1999999999999998E-5</v>
      </c>
      <c r="D196">
        <v>2.8717459000000001E-2</v>
      </c>
      <c r="E196">
        <v>0.28717458899999998</v>
      </c>
      <c r="F196">
        <v>1.3445253654898484E-4</v>
      </c>
      <c r="G196">
        <f t="shared" si="2"/>
        <v>391</v>
      </c>
    </row>
    <row r="197" spans="2:7">
      <c r="B197">
        <v>392</v>
      </c>
      <c r="C197">
        <v>4.1E-5</v>
      </c>
      <c r="D197">
        <v>3.2987698000000003E-2</v>
      </c>
      <c r="E197">
        <v>0.32987697799999999</v>
      </c>
      <c r="F197">
        <v>1.504874129866466E-4</v>
      </c>
      <c r="G197">
        <f t="shared" si="2"/>
        <v>392</v>
      </c>
    </row>
    <row r="198" spans="2:7">
      <c r="B198">
        <v>393</v>
      </c>
      <c r="C198">
        <v>3.8999999999999999E-5</v>
      </c>
      <c r="D198">
        <v>3.7892914E-2</v>
      </c>
      <c r="E198">
        <v>0.378929142</v>
      </c>
      <c r="F198">
        <v>1.6899602114981593E-4</v>
      </c>
      <c r="G198">
        <f t="shared" ref="G198:G261" si="3">B198</f>
        <v>393</v>
      </c>
    </row>
    <row r="199" spans="2:7">
      <c r="B199">
        <v>394</v>
      </c>
      <c r="C199">
        <v>3.6999999999999998E-5</v>
      </c>
      <c r="D199">
        <v>4.3527528000000003E-2</v>
      </c>
      <c r="E199">
        <v>0.43527528199999999</v>
      </c>
      <c r="F199">
        <v>1.908697528753235E-4</v>
      </c>
      <c r="G199">
        <f t="shared" si="3"/>
        <v>394</v>
      </c>
    </row>
    <row r="200" spans="2:7">
      <c r="B200">
        <v>395</v>
      </c>
      <c r="C200">
        <v>3.6000000000000001E-5</v>
      </c>
      <c r="D200">
        <v>0.05</v>
      </c>
      <c r="E200">
        <v>0.5</v>
      </c>
      <c r="F200">
        <v>2.1699999999999999E-4</v>
      </c>
      <c r="G200">
        <f t="shared" si="3"/>
        <v>395</v>
      </c>
    </row>
    <row r="201" spans="2:7">
      <c r="B201">
        <v>396</v>
      </c>
      <c r="C201">
        <v>3.4999999999999997E-5</v>
      </c>
      <c r="D201">
        <v>5.7434918000000001E-2</v>
      </c>
      <c r="E201">
        <v>0.57434917699999999</v>
      </c>
      <c r="F201">
        <v>2.4790457291347612E-4</v>
      </c>
      <c r="G201">
        <f t="shared" si="3"/>
        <v>396</v>
      </c>
    </row>
    <row r="202" spans="2:7">
      <c r="B202">
        <v>397</v>
      </c>
      <c r="C202">
        <v>3.3000000000000003E-5</v>
      </c>
      <c r="D202">
        <v>6.5975396000000006E-2</v>
      </c>
      <c r="E202">
        <v>0.659753955</v>
      </c>
      <c r="F202">
        <v>2.8260695621658299E-4</v>
      </c>
      <c r="G202">
        <f t="shared" si="3"/>
        <v>397</v>
      </c>
    </row>
    <row r="203" spans="2:7">
      <c r="B203">
        <v>398</v>
      </c>
      <c r="C203">
        <v>3.1999999999999999E-5</v>
      </c>
      <c r="D203">
        <v>7.5785828E-2</v>
      </c>
      <c r="E203">
        <v>0.75785828300000002</v>
      </c>
      <c r="F203">
        <v>3.1975705306295181E-4</v>
      </c>
      <c r="G203">
        <f t="shared" si="3"/>
        <v>398</v>
      </c>
    </row>
    <row r="204" spans="2:7">
      <c r="B204">
        <v>399</v>
      </c>
      <c r="C204">
        <v>3.1000000000000001E-5</v>
      </c>
      <c r="D204">
        <v>8.7055056000000006E-2</v>
      </c>
      <c r="E204">
        <v>0.870550563</v>
      </c>
      <c r="F204">
        <v>3.5800476660621371E-4</v>
      </c>
      <c r="G204">
        <f t="shared" si="3"/>
        <v>399</v>
      </c>
    </row>
    <row r="205" spans="2:7">
      <c r="B205">
        <v>400</v>
      </c>
      <c r="C205">
        <v>3.0000000000000001E-5</v>
      </c>
      <c r="D205">
        <v>0.1</v>
      </c>
      <c r="E205">
        <v>1</v>
      </c>
      <c r="F205">
        <v>3.9599999999999998E-4</v>
      </c>
      <c r="G205">
        <f t="shared" si="3"/>
        <v>400</v>
      </c>
    </row>
    <row r="206" spans="2:7">
      <c r="B206">
        <v>401</v>
      </c>
      <c r="D206">
        <v>0.114869835</v>
      </c>
      <c r="E206">
        <v>1.1486983550000001</v>
      </c>
      <c r="F206">
        <v>4.3323317179711065E-4</v>
      </c>
      <c r="G206">
        <f t="shared" si="3"/>
        <v>401</v>
      </c>
    </row>
    <row r="207" spans="2:7">
      <c r="B207">
        <v>402</v>
      </c>
      <c r="D207">
        <v>0.13195079100000001</v>
      </c>
      <c r="E207">
        <v>1.3195079110000001</v>
      </c>
      <c r="F207">
        <v>4.7255676214702144E-4</v>
      </c>
      <c r="G207">
        <f t="shared" si="3"/>
        <v>402</v>
      </c>
    </row>
    <row r="208" spans="2:7">
      <c r="B208">
        <v>403</v>
      </c>
      <c r="D208">
        <v>0.151571657</v>
      </c>
      <c r="E208">
        <v>1.5157165669999999</v>
      </c>
      <c r="F208">
        <v>5.176637665983767E-4</v>
      </c>
      <c r="G208">
        <f t="shared" si="3"/>
        <v>403</v>
      </c>
    </row>
    <row r="209" spans="2:7">
      <c r="B209">
        <v>404</v>
      </c>
      <c r="D209">
        <v>0.17411011300000001</v>
      </c>
      <c r="E209">
        <v>1.7411011270000001</v>
      </c>
      <c r="F209">
        <v>5.7224718069982155E-4</v>
      </c>
      <c r="G209">
        <f t="shared" si="3"/>
        <v>404</v>
      </c>
    </row>
    <row r="210" spans="2:7">
      <c r="B210">
        <v>405</v>
      </c>
      <c r="D210">
        <v>0.2</v>
      </c>
      <c r="E210">
        <v>2</v>
      </c>
      <c r="F210">
        <v>6.4000000000000005E-4</v>
      </c>
      <c r="G210">
        <f t="shared" si="3"/>
        <v>405</v>
      </c>
    </row>
    <row r="211" spans="2:7">
      <c r="B211">
        <v>406</v>
      </c>
      <c r="D211">
        <v>0.22973967100000001</v>
      </c>
      <c r="E211">
        <v>2.2973967100000001</v>
      </c>
      <c r="F211">
        <v>7.2385073989808145E-4</v>
      </c>
      <c r="G211">
        <f t="shared" si="3"/>
        <v>406</v>
      </c>
    </row>
    <row r="212" spans="2:7">
      <c r="B212">
        <v>407</v>
      </c>
      <c r="D212">
        <v>0.26390158200000002</v>
      </c>
      <c r="E212">
        <v>2.6390158220000002</v>
      </c>
      <c r="F212">
        <v>8.2366999519533171E-4</v>
      </c>
      <c r="G212">
        <f t="shared" si="3"/>
        <v>407</v>
      </c>
    </row>
    <row r="213" spans="2:7">
      <c r="B213">
        <v>408</v>
      </c>
      <c r="D213">
        <v>0.30314331300000003</v>
      </c>
      <c r="E213">
        <v>3.0314331330000002</v>
      </c>
      <c r="F213">
        <v>9.3856388054354119E-4</v>
      </c>
      <c r="G213">
        <f t="shared" si="3"/>
        <v>408</v>
      </c>
    </row>
    <row r="214" spans="2:7">
      <c r="B214">
        <v>409</v>
      </c>
      <c r="D214">
        <v>0.34822022499999999</v>
      </c>
      <c r="E214">
        <v>3.4822022530000001</v>
      </c>
      <c r="F214">
        <v>1.0676385105945004E-3</v>
      </c>
      <c r="G214">
        <f t="shared" si="3"/>
        <v>409</v>
      </c>
    </row>
    <row r="215" spans="2:7">
      <c r="B215">
        <v>410</v>
      </c>
      <c r="D215">
        <v>0.4</v>
      </c>
      <c r="E215">
        <v>4</v>
      </c>
      <c r="F215">
        <v>1.2099999999999999E-3</v>
      </c>
      <c r="G215">
        <f t="shared" si="3"/>
        <v>410</v>
      </c>
    </row>
    <row r="216" spans="2:7">
      <c r="B216">
        <v>411</v>
      </c>
      <c r="D216">
        <v>0.45947934200000001</v>
      </c>
      <c r="E216">
        <v>4.5947934200000002</v>
      </c>
      <c r="F216">
        <v>1.365475868610564E-3</v>
      </c>
      <c r="G216">
        <f t="shared" si="3"/>
        <v>411</v>
      </c>
    </row>
    <row r="217" spans="2:7">
      <c r="B217">
        <v>412</v>
      </c>
      <c r="D217">
        <v>0.52780316400000005</v>
      </c>
      <c r="E217">
        <v>5.2780316430000003</v>
      </c>
      <c r="F217">
        <v>1.5367792570716524E-3</v>
      </c>
      <c r="G217">
        <f t="shared" si="3"/>
        <v>412</v>
      </c>
    </row>
    <row r="218" spans="2:7">
      <c r="B218">
        <v>413</v>
      </c>
      <c r="D218">
        <v>0.60628662700000002</v>
      </c>
      <c r="E218">
        <v>6.0628662660000003</v>
      </c>
      <c r="F218">
        <v>1.7273447112274587E-3</v>
      </c>
      <c r="G218">
        <f t="shared" si="3"/>
        <v>413</v>
      </c>
    </row>
    <row r="219" spans="2:7">
      <c r="B219">
        <v>414</v>
      </c>
      <c r="D219">
        <v>0.69644045099999996</v>
      </c>
      <c r="E219">
        <v>6.9644045060000002</v>
      </c>
      <c r="F219">
        <v>1.9406067769221767E-3</v>
      </c>
      <c r="G219">
        <f t="shared" si="3"/>
        <v>414</v>
      </c>
    </row>
    <row r="220" spans="2:7">
      <c r="B220">
        <v>415</v>
      </c>
      <c r="D220">
        <v>0.8</v>
      </c>
      <c r="E220">
        <v>8</v>
      </c>
      <c r="F220">
        <v>2.1800000000000001E-3</v>
      </c>
      <c r="G220">
        <f t="shared" si="3"/>
        <v>415</v>
      </c>
    </row>
    <row r="221" spans="2:7">
      <c r="B221">
        <v>416</v>
      </c>
      <c r="D221">
        <v>0.81906900400000004</v>
      </c>
      <c r="E221">
        <v>8.1906900440000001</v>
      </c>
      <c r="F221">
        <v>2.4498457856596627E-3</v>
      </c>
      <c r="G221">
        <f t="shared" si="3"/>
        <v>416</v>
      </c>
    </row>
    <row r="222" spans="2:7">
      <c r="B222">
        <v>417</v>
      </c>
      <c r="D222">
        <v>0.83859254299999997</v>
      </c>
      <c r="E222">
        <v>8.3859254249999999</v>
      </c>
      <c r="F222">
        <v>2.7580129765180593E-3</v>
      </c>
      <c r="G222">
        <f t="shared" si="3"/>
        <v>417</v>
      </c>
    </row>
    <row r="223" spans="2:7">
      <c r="B223">
        <v>418</v>
      </c>
      <c r="D223">
        <v>0.858581449</v>
      </c>
      <c r="E223">
        <v>8.5858144870000004</v>
      </c>
      <c r="F223">
        <v>3.1132572745466241E-3</v>
      </c>
      <c r="G223">
        <f t="shared" si="3"/>
        <v>418</v>
      </c>
    </row>
    <row r="224" spans="2:7">
      <c r="B224">
        <v>419</v>
      </c>
      <c r="D224">
        <v>0.87904681500000004</v>
      </c>
      <c r="E224">
        <v>8.7904681549999992</v>
      </c>
      <c r="F224">
        <v>3.5243343817167932E-3</v>
      </c>
      <c r="G224">
        <f t="shared" si="3"/>
        <v>419</v>
      </c>
    </row>
    <row r="225" spans="2:7">
      <c r="B225">
        <v>420</v>
      </c>
      <c r="D225">
        <v>0.9</v>
      </c>
      <c r="E225">
        <v>9</v>
      </c>
      <c r="F225">
        <v>4.0000000000000001E-3</v>
      </c>
      <c r="G225">
        <f t="shared" si="3"/>
        <v>420</v>
      </c>
    </row>
    <row r="226" spans="2:7">
      <c r="B226">
        <v>421</v>
      </c>
      <c r="D226">
        <v>0.90978490899999997</v>
      </c>
      <c r="E226">
        <v>9.0978490880000003</v>
      </c>
      <c r="F226">
        <v>4.5461809887507856E-3</v>
      </c>
      <c r="G226">
        <f t="shared" si="3"/>
        <v>421</v>
      </c>
    </row>
    <row r="227" spans="2:7">
      <c r="B227">
        <v>422</v>
      </c>
      <c r="D227">
        <v>0.91967620000000005</v>
      </c>
      <c r="E227">
        <v>9.1967620019999998</v>
      </c>
      <c r="F227">
        <v>5.1574888368561113E-3</v>
      </c>
      <c r="G227">
        <f t="shared" si="3"/>
        <v>422</v>
      </c>
    </row>
    <row r="228" spans="2:7">
      <c r="B228">
        <v>423</v>
      </c>
      <c r="D228">
        <v>0.92967503100000004</v>
      </c>
      <c r="E228">
        <v>9.2967503100000002</v>
      </c>
      <c r="F228">
        <v>5.8257061905860443E-3</v>
      </c>
      <c r="G228">
        <f t="shared" si="3"/>
        <v>423</v>
      </c>
    </row>
    <row r="229" spans="2:7">
      <c r="B229">
        <v>424</v>
      </c>
      <c r="D229">
        <v>0.93978256999999998</v>
      </c>
      <c r="E229">
        <v>9.3978257030000005</v>
      </c>
      <c r="F229">
        <v>6.5426156962106524E-3</v>
      </c>
      <c r="G229">
        <f t="shared" si="3"/>
        <v>424</v>
      </c>
    </row>
    <row r="230" spans="2:7">
      <c r="B230">
        <v>425</v>
      </c>
      <c r="D230">
        <v>0.95</v>
      </c>
      <c r="E230">
        <v>9.5</v>
      </c>
      <c r="F230">
        <v>7.3000000000000001E-3</v>
      </c>
      <c r="G230">
        <f t="shared" si="3"/>
        <v>425</v>
      </c>
    </row>
    <row r="231" spans="2:7">
      <c r="B231">
        <v>426</v>
      </c>
      <c r="D231">
        <v>0.95592561600000003</v>
      </c>
      <c r="E231">
        <v>9.5592561549999999</v>
      </c>
      <c r="F231">
        <v>8.0911902593371957E-3</v>
      </c>
      <c r="G231">
        <f t="shared" si="3"/>
        <v>426</v>
      </c>
    </row>
    <row r="232" spans="2:7">
      <c r="B232">
        <v>427</v>
      </c>
      <c r="D232">
        <v>0.96188819199999998</v>
      </c>
      <c r="E232">
        <v>9.6188819199999998</v>
      </c>
      <c r="F232">
        <v>8.9157116760574962E-3</v>
      </c>
      <c r="G232">
        <f t="shared" si="3"/>
        <v>427</v>
      </c>
    </row>
    <row r="233" spans="2:7">
      <c r="B233">
        <v>428</v>
      </c>
      <c r="D233">
        <v>0.96788795999999999</v>
      </c>
      <c r="E233">
        <v>9.6788796010000002</v>
      </c>
      <c r="F233">
        <v>9.7746379631091992E-3</v>
      </c>
      <c r="G233">
        <f t="shared" si="3"/>
        <v>428</v>
      </c>
    </row>
    <row r="234" spans="2:7">
      <c r="B234">
        <v>429</v>
      </c>
      <c r="D234">
        <v>0.97392515199999996</v>
      </c>
      <c r="E234">
        <v>9.7392515159999995</v>
      </c>
      <c r="F234">
        <v>1.0669042833440601E-2</v>
      </c>
      <c r="G234">
        <f t="shared" si="3"/>
        <v>429</v>
      </c>
    </row>
    <row r="235" spans="2:7">
      <c r="B235">
        <v>430</v>
      </c>
      <c r="D235">
        <v>0.98</v>
      </c>
      <c r="E235">
        <v>9.8000000000000007</v>
      </c>
      <c r="F235">
        <v>1.1599999999999999E-2</v>
      </c>
      <c r="G235">
        <f t="shared" si="3"/>
        <v>430</v>
      </c>
    </row>
    <row r="236" spans="2:7">
      <c r="B236">
        <v>431</v>
      </c>
      <c r="D236">
        <v>0.98396774099999995</v>
      </c>
      <c r="E236">
        <v>9.8396774110000003</v>
      </c>
      <c r="F236">
        <v>1.2568577973900432E-2</v>
      </c>
      <c r="G236">
        <f t="shared" si="3"/>
        <v>431</v>
      </c>
    </row>
    <row r="237" spans="2:7">
      <c r="B237">
        <v>432</v>
      </c>
      <c r="D237">
        <v>0.98795154699999999</v>
      </c>
      <c r="E237">
        <v>9.8795154650000008</v>
      </c>
      <c r="F237">
        <v>1.3575824458913902E-2</v>
      </c>
      <c r="G237">
        <f t="shared" si="3"/>
        <v>432</v>
      </c>
    </row>
    <row r="238" spans="2:7">
      <c r="B238">
        <v>433</v>
      </c>
      <c r="D238">
        <v>0.99195148099999997</v>
      </c>
      <c r="E238">
        <v>9.9195148119999992</v>
      </c>
      <c r="F238">
        <v>1.4622781956977155E-2</v>
      </c>
      <c r="G238">
        <f t="shared" si="3"/>
        <v>433</v>
      </c>
    </row>
    <row r="239" spans="2:7">
      <c r="B239">
        <v>434</v>
      </c>
      <c r="D239">
        <v>0.99596761099999997</v>
      </c>
      <c r="E239">
        <v>9.9596761049999998</v>
      </c>
      <c r="F239">
        <v>1.571049297002694E-2</v>
      </c>
      <c r="G239">
        <f t="shared" si="3"/>
        <v>434</v>
      </c>
    </row>
    <row r="240" spans="2:7">
      <c r="B240">
        <v>435</v>
      </c>
      <c r="D240">
        <v>1</v>
      </c>
      <c r="E240">
        <v>10</v>
      </c>
      <c r="F240">
        <v>1.6840000000000001E-2</v>
      </c>
      <c r="G240">
        <f t="shared" si="3"/>
        <v>435</v>
      </c>
    </row>
    <row r="241" spans="2:7">
      <c r="B241">
        <v>436</v>
      </c>
      <c r="D241">
        <v>1</v>
      </c>
      <c r="E241">
        <v>10</v>
      </c>
      <c r="F241">
        <v>1.801113784506108E-2</v>
      </c>
      <c r="G241">
        <f t="shared" si="3"/>
        <v>436</v>
      </c>
    </row>
    <row r="242" spans="2:7">
      <c r="B242">
        <v>437</v>
      </c>
      <c r="D242">
        <v>1</v>
      </c>
      <c r="E242">
        <v>10</v>
      </c>
      <c r="F242">
        <v>1.9218910488286899E-2</v>
      </c>
      <c r="G242">
        <f t="shared" si="3"/>
        <v>437</v>
      </c>
    </row>
    <row r="243" spans="2:7">
      <c r="B243">
        <v>438</v>
      </c>
      <c r="D243">
        <v>1</v>
      </c>
      <c r="E243">
        <v>10</v>
      </c>
      <c r="F243">
        <v>2.0457114208982177E-2</v>
      </c>
      <c r="G243">
        <f t="shared" si="3"/>
        <v>438</v>
      </c>
    </row>
    <row r="244" spans="2:7">
      <c r="B244">
        <v>439</v>
      </c>
      <c r="D244">
        <v>1</v>
      </c>
      <c r="E244">
        <v>10</v>
      </c>
      <c r="F244">
        <v>2.1719545286451637E-2</v>
      </c>
      <c r="G244">
        <f t="shared" si="3"/>
        <v>439</v>
      </c>
    </row>
    <row r="245" spans="2:7">
      <c r="B245">
        <v>440</v>
      </c>
      <c r="D245">
        <v>1</v>
      </c>
      <c r="E245">
        <v>10</v>
      </c>
      <c r="F245">
        <v>2.3E-2</v>
      </c>
      <c r="G245">
        <f t="shared" si="3"/>
        <v>440</v>
      </c>
    </row>
    <row r="246" spans="2:7">
      <c r="B246">
        <v>441</v>
      </c>
      <c r="D246">
        <v>0.99392667599999995</v>
      </c>
      <c r="E246">
        <v>9.9392667610000007</v>
      </c>
      <c r="F246">
        <v>2.4295030645855257E-2</v>
      </c>
      <c r="G246">
        <f t="shared" si="3"/>
        <v>441</v>
      </c>
    </row>
    <row r="247" spans="2:7">
      <c r="B247">
        <v>442</v>
      </c>
      <c r="D247">
        <v>0.98789023799999998</v>
      </c>
      <c r="E247">
        <v>9.8789023759999992</v>
      </c>
      <c r="F247">
        <v>2.5612213587938509E-2</v>
      </c>
      <c r="G247">
        <f t="shared" si="3"/>
        <v>442</v>
      </c>
    </row>
    <row r="248" spans="2:7">
      <c r="B248">
        <v>443</v>
      </c>
      <c r="D248">
        <v>0.98189046000000002</v>
      </c>
      <c r="E248">
        <v>9.8189046019999999</v>
      </c>
      <c r="F248">
        <v>2.6961881207094134E-2</v>
      </c>
      <c r="G248">
        <f t="shared" si="3"/>
        <v>443</v>
      </c>
    </row>
    <row r="249" spans="2:7">
      <c r="B249">
        <v>444</v>
      </c>
      <c r="D249">
        <v>0.97592712100000001</v>
      </c>
      <c r="E249">
        <v>9.7592712150000001</v>
      </c>
      <c r="F249">
        <v>2.8354365884166503E-2</v>
      </c>
      <c r="G249">
        <f t="shared" si="3"/>
        <v>444</v>
      </c>
    </row>
    <row r="250" spans="2:7">
      <c r="B250">
        <v>445</v>
      </c>
      <c r="D250">
        <v>0.97</v>
      </c>
      <c r="E250">
        <v>9.6999999999999993</v>
      </c>
      <c r="F250">
        <v>2.98E-2</v>
      </c>
      <c r="G250">
        <f t="shared" si="3"/>
        <v>445</v>
      </c>
    </row>
    <row r="251" spans="2:7">
      <c r="B251">
        <v>446</v>
      </c>
      <c r="D251">
        <v>0.96392436500000001</v>
      </c>
      <c r="E251">
        <v>9.6392436529999994</v>
      </c>
      <c r="F251">
        <v>3.1307619571517897E-2</v>
      </c>
      <c r="G251">
        <f t="shared" si="3"/>
        <v>446</v>
      </c>
    </row>
    <row r="252" spans="2:7">
      <c r="B252">
        <v>447</v>
      </c>
      <c r="D252">
        <v>0.95788678500000002</v>
      </c>
      <c r="E252">
        <v>9.5788678550000004</v>
      </c>
      <c r="F252">
        <v>3.2880075159959068E-2</v>
      </c>
      <c r="G252">
        <f t="shared" si="3"/>
        <v>447</v>
      </c>
    </row>
    <row r="253" spans="2:7">
      <c r="B253">
        <v>448</v>
      </c>
      <c r="D253">
        <v>0.95188702199999997</v>
      </c>
      <c r="E253">
        <v>9.5188702240000005</v>
      </c>
      <c r="F253">
        <v>3.4518720962641289E-2</v>
      </c>
      <c r="G253">
        <f t="shared" si="3"/>
        <v>448</v>
      </c>
    </row>
    <row r="254" spans="2:7">
      <c r="B254">
        <v>449</v>
      </c>
      <c r="D254">
        <v>0.94592483900000002</v>
      </c>
      <c r="E254">
        <v>9.4592483900000008</v>
      </c>
      <c r="F254">
        <v>3.6224911176882348E-2</v>
      </c>
      <c r="G254">
        <f t="shared" si="3"/>
        <v>449</v>
      </c>
    </row>
    <row r="255" spans="2:7">
      <c r="B255">
        <v>450</v>
      </c>
      <c r="D255">
        <v>0.94</v>
      </c>
      <c r="E255">
        <v>9.4</v>
      </c>
      <c r="F255">
        <v>3.7999999999999999E-2</v>
      </c>
      <c r="G255">
        <f t="shared" si="3"/>
        <v>450</v>
      </c>
    </row>
    <row r="256" spans="2:7">
      <c r="B256">
        <v>451</v>
      </c>
      <c r="D256">
        <v>0.93186024599999995</v>
      </c>
      <c r="E256">
        <v>9.3186024609999993</v>
      </c>
      <c r="F256">
        <v>3.9845691068073161E-2</v>
      </c>
      <c r="G256">
        <f t="shared" si="3"/>
        <v>451</v>
      </c>
    </row>
    <row r="257" spans="2:7">
      <c r="B257">
        <v>452</v>
      </c>
      <c r="D257">
        <v>0.92379097700000001</v>
      </c>
      <c r="E257">
        <v>9.2379097679999997</v>
      </c>
      <c r="F257">
        <v>4.1765085772225222E-2</v>
      </c>
      <c r="G257">
        <f t="shared" si="3"/>
        <v>452</v>
      </c>
    </row>
    <row r="258" spans="2:7">
      <c r="B258">
        <v>453</v>
      </c>
      <c r="D258">
        <v>0.91579158199999999</v>
      </c>
      <c r="E258">
        <v>9.1579158189999994</v>
      </c>
      <c r="F258">
        <v>4.3761634942340699E-2</v>
      </c>
      <c r="G258">
        <f t="shared" si="3"/>
        <v>453</v>
      </c>
    </row>
    <row r="259" spans="2:7">
      <c r="B259">
        <v>454</v>
      </c>
      <c r="D259">
        <v>0.90786145600000001</v>
      </c>
      <c r="E259">
        <v>9.0786145620000003</v>
      </c>
      <c r="F259">
        <v>4.5838789408304131E-2</v>
      </c>
      <c r="G259">
        <f t="shared" si="3"/>
        <v>454</v>
      </c>
    </row>
    <row r="260" spans="2:7">
      <c r="B260">
        <v>455</v>
      </c>
      <c r="D260">
        <v>0.9</v>
      </c>
      <c r="E260">
        <v>9</v>
      </c>
      <c r="F260">
        <v>4.8000000000000001E-2</v>
      </c>
      <c r="G260">
        <f t="shared" si="3"/>
        <v>455</v>
      </c>
    </row>
    <row r="261" spans="2:7">
      <c r="B261">
        <v>456</v>
      </c>
      <c r="D261">
        <v>0.87904681500000004</v>
      </c>
      <c r="E261">
        <v>8.7904681549999992</v>
      </c>
      <c r="F261">
        <v>5.0247216156189461E-2</v>
      </c>
      <c r="G261">
        <f t="shared" si="3"/>
        <v>456</v>
      </c>
    </row>
    <row r="262" spans="2:7">
      <c r="B262">
        <v>457</v>
      </c>
      <c r="D262">
        <v>0.858581449</v>
      </c>
      <c r="E262">
        <v>8.5858144870000004</v>
      </c>
      <c r="F262">
        <v>5.2576381751140044E-2</v>
      </c>
      <c r="G262">
        <f t="shared" ref="G262:G325" si="4">B262</f>
        <v>457</v>
      </c>
    </row>
    <row r="263" spans="2:7">
      <c r="B263">
        <v>458</v>
      </c>
      <c r="D263">
        <v>0.83859254299999997</v>
      </c>
      <c r="E263">
        <v>8.3859254249999999</v>
      </c>
      <c r="F263">
        <v>5.4981939267995897E-2</v>
      </c>
      <c r="G263">
        <f t="shared" si="4"/>
        <v>458</v>
      </c>
    </row>
    <row r="264" spans="2:7">
      <c r="B264">
        <v>459</v>
      </c>
      <c r="D264">
        <v>0.81906900400000004</v>
      </c>
      <c r="E264">
        <v>8.1906900440000001</v>
      </c>
      <c r="F264">
        <v>5.7458331189901166E-2</v>
      </c>
      <c r="G264">
        <f t="shared" si="4"/>
        <v>459</v>
      </c>
    </row>
    <row r="265" spans="2:7">
      <c r="B265">
        <v>460</v>
      </c>
      <c r="D265">
        <v>0.8</v>
      </c>
      <c r="E265">
        <v>8</v>
      </c>
      <c r="F265">
        <v>0.06</v>
      </c>
      <c r="G265">
        <f t="shared" si="4"/>
        <v>460</v>
      </c>
    </row>
    <row r="266" spans="2:7">
      <c r="B266">
        <v>461</v>
      </c>
      <c r="D266">
        <v>0.77891774400000002</v>
      </c>
      <c r="E266">
        <v>7.789177445</v>
      </c>
      <c r="F266">
        <v>6.2604644307169E-2</v>
      </c>
      <c r="G266">
        <f t="shared" si="4"/>
        <v>461</v>
      </c>
    </row>
    <row r="267" spans="2:7">
      <c r="B267">
        <v>462</v>
      </c>
      <c r="D267">
        <v>0.75839106599999995</v>
      </c>
      <c r="E267">
        <v>7.5839106589999998</v>
      </c>
      <c r="F267">
        <v>6.52829872232146E-2</v>
      </c>
      <c r="G267">
        <f t="shared" si="4"/>
        <v>462</v>
      </c>
    </row>
    <row r="268" spans="2:7">
      <c r="B268">
        <v>463</v>
      </c>
      <c r="D268">
        <v>0.73840532299999995</v>
      </c>
      <c r="E268">
        <v>7.3840532310000002</v>
      </c>
      <c r="F268">
        <v>6.8049007985675716E-2</v>
      </c>
      <c r="G268">
        <f t="shared" si="4"/>
        <v>463</v>
      </c>
    </row>
    <row r="269" spans="2:7">
      <c r="B269">
        <v>464</v>
      </c>
      <c r="D269">
        <v>0.71894626100000003</v>
      </c>
      <c r="E269">
        <v>7.1894626099999996</v>
      </c>
      <c r="F269">
        <v>7.0916685832091222E-2</v>
      </c>
      <c r="G269">
        <f t="shared" si="4"/>
        <v>464</v>
      </c>
    </row>
    <row r="270" spans="2:7">
      <c r="B270">
        <v>465</v>
      </c>
      <c r="D270">
        <v>0.7</v>
      </c>
      <c r="E270">
        <v>7</v>
      </c>
      <c r="F270">
        <v>7.3899999999999993E-2</v>
      </c>
      <c r="G270">
        <f t="shared" si="4"/>
        <v>465</v>
      </c>
    </row>
    <row r="271" spans="2:7">
      <c r="B271">
        <v>466</v>
      </c>
      <c r="D271">
        <v>0.68321401999999998</v>
      </c>
      <c r="E271">
        <v>6.8321402019999997</v>
      </c>
      <c r="F271">
        <v>7.7012446615134525E-2</v>
      </c>
      <c r="G271">
        <f t="shared" si="4"/>
        <v>466</v>
      </c>
    </row>
    <row r="272" spans="2:7">
      <c r="B272">
        <v>467</v>
      </c>
      <c r="D272">
        <v>0.66683056799999996</v>
      </c>
      <c r="E272">
        <v>6.6683056770000002</v>
      </c>
      <c r="F272">
        <v>8.0265589356001518E-2</v>
      </c>
      <c r="G272">
        <f t="shared" si="4"/>
        <v>467</v>
      </c>
    </row>
    <row r="273" spans="2:7">
      <c r="B273">
        <v>468</v>
      </c>
      <c r="D273">
        <v>0.65083999000000003</v>
      </c>
      <c r="E273">
        <v>6.5083998999999997</v>
      </c>
      <c r="F273">
        <v>8.367050878930124E-2</v>
      </c>
      <c r="G273">
        <f t="shared" si="4"/>
        <v>468</v>
      </c>
    </row>
    <row r="274" spans="2:7">
      <c r="B274">
        <v>469</v>
      </c>
      <c r="D274">
        <v>0.63523286599999995</v>
      </c>
      <c r="E274">
        <v>6.3523286580000002</v>
      </c>
      <c r="F274">
        <v>8.7238285481733985E-2</v>
      </c>
      <c r="G274">
        <f t="shared" si="4"/>
        <v>469</v>
      </c>
    </row>
    <row r="275" spans="2:7">
      <c r="B275">
        <v>470</v>
      </c>
      <c r="D275">
        <v>0.62</v>
      </c>
      <c r="E275">
        <v>6.2</v>
      </c>
      <c r="F275">
        <v>9.0980000000000005E-2</v>
      </c>
      <c r="G275">
        <f t="shared" si="4"/>
        <v>470</v>
      </c>
    </row>
    <row r="276" spans="2:7">
      <c r="B276">
        <v>471</v>
      </c>
      <c r="D276">
        <v>0.60532120700000003</v>
      </c>
      <c r="E276">
        <v>6.053212072</v>
      </c>
      <c r="F276">
        <v>9.4906049232292872E-2</v>
      </c>
      <c r="G276">
        <f t="shared" si="4"/>
        <v>471</v>
      </c>
    </row>
    <row r="277" spans="2:7">
      <c r="B277">
        <v>472</v>
      </c>
      <c r="D277">
        <v>0.59098994199999999</v>
      </c>
      <c r="E277">
        <v>5.9098994170000001</v>
      </c>
      <c r="F277">
        <v>9.9024095352779326E-2</v>
      </c>
      <c r="G277">
        <f t="shared" si="4"/>
        <v>472</v>
      </c>
    </row>
    <row r="278" spans="2:7">
      <c r="B278">
        <v>473</v>
      </c>
      <c r="D278">
        <v>0.57699797600000002</v>
      </c>
      <c r="E278">
        <v>5.7699797569999998</v>
      </c>
      <c r="F278">
        <v>0.1033411168571193</v>
      </c>
      <c r="G278">
        <f t="shared" si="4"/>
        <v>473</v>
      </c>
    </row>
    <row r="279" spans="2:7">
      <c r="B279">
        <v>474</v>
      </c>
      <c r="D279">
        <v>0.56333727600000005</v>
      </c>
      <c r="E279">
        <v>5.6333727610000004</v>
      </c>
      <c r="F279">
        <v>0.10786409224097289</v>
      </c>
      <c r="G279">
        <f t="shared" si="4"/>
        <v>474</v>
      </c>
    </row>
    <row r="280" spans="2:7">
      <c r="B280">
        <v>475</v>
      </c>
      <c r="D280">
        <v>0.55000000000000004</v>
      </c>
      <c r="E280">
        <v>5.5</v>
      </c>
      <c r="F280">
        <v>0.11260000000000001</v>
      </c>
      <c r="G280">
        <f t="shared" si="4"/>
        <v>475</v>
      </c>
    </row>
    <row r="281" spans="2:7">
      <c r="B281">
        <v>476</v>
      </c>
      <c r="D281">
        <v>0.52836331299999995</v>
      </c>
      <c r="E281">
        <v>5.2836331259999998</v>
      </c>
      <c r="F281">
        <v>0.11755023645569398</v>
      </c>
      <c r="G281">
        <f t="shared" si="4"/>
        <v>476</v>
      </c>
    </row>
    <row r="282" spans="2:7">
      <c r="B282">
        <v>477</v>
      </c>
      <c r="D282">
        <v>0.50757779999999997</v>
      </c>
      <c r="E282">
        <v>5.0757780019999998</v>
      </c>
      <c r="F282">
        <v>0.12269386923288123</v>
      </c>
      <c r="G282">
        <f t="shared" si="4"/>
        <v>477</v>
      </c>
    </row>
    <row r="283" spans="2:7">
      <c r="B283">
        <v>478</v>
      </c>
      <c r="D283">
        <v>0.487609978</v>
      </c>
      <c r="E283">
        <v>4.8760997799999997</v>
      </c>
      <c r="F283">
        <v>0.12800438378222151</v>
      </c>
      <c r="G283">
        <f t="shared" si="4"/>
        <v>478</v>
      </c>
    </row>
    <row r="284" spans="2:7">
      <c r="B284">
        <v>479</v>
      </c>
      <c r="D284">
        <v>0.46842767899999999</v>
      </c>
      <c r="E284">
        <v>4.6842767859999999</v>
      </c>
      <c r="F284">
        <v>0.13345526555437454</v>
      </c>
      <c r="G284">
        <f t="shared" si="4"/>
        <v>479</v>
      </c>
    </row>
    <row r="285" spans="2:7">
      <c r="B285">
        <v>480</v>
      </c>
      <c r="D285">
        <v>0.45</v>
      </c>
      <c r="E285">
        <v>4.5</v>
      </c>
      <c r="F285">
        <v>0.13902</v>
      </c>
      <c r="G285">
        <f t="shared" si="4"/>
        <v>480</v>
      </c>
    </row>
    <row r="286" spans="2:7">
      <c r="B286">
        <v>481</v>
      </c>
      <c r="D286">
        <v>0.439523408</v>
      </c>
      <c r="E286">
        <v>4.3952340769999996</v>
      </c>
      <c r="F286">
        <v>0.14468548494493125</v>
      </c>
      <c r="G286">
        <f t="shared" si="4"/>
        <v>481</v>
      </c>
    </row>
    <row r="287" spans="2:7">
      <c r="B287">
        <v>482</v>
      </c>
      <c r="D287">
        <v>0.42929072400000001</v>
      </c>
      <c r="E287">
        <v>4.2929072430000002</v>
      </c>
      <c r="F287">
        <v>0.15049226771569577</v>
      </c>
      <c r="G287">
        <f t="shared" si="4"/>
        <v>482</v>
      </c>
    </row>
    <row r="288" spans="2:7">
      <c r="B288">
        <v>483</v>
      </c>
      <c r="D288">
        <v>0.419296271</v>
      </c>
      <c r="E288">
        <v>4.192962713</v>
      </c>
      <c r="F288">
        <v>0.15649430801399469</v>
      </c>
      <c r="G288">
        <f t="shared" si="4"/>
        <v>483</v>
      </c>
    </row>
    <row r="289" spans="2:7">
      <c r="B289">
        <v>484</v>
      </c>
      <c r="D289">
        <v>0.40953450200000002</v>
      </c>
      <c r="E289">
        <v>4.0953450220000001</v>
      </c>
      <c r="F289">
        <v>0.16274556554152908</v>
      </c>
      <c r="G289">
        <f t="shared" si="4"/>
        <v>484</v>
      </c>
    </row>
    <row r="290" spans="2:7">
      <c r="B290">
        <v>485</v>
      </c>
      <c r="D290">
        <v>0.4</v>
      </c>
      <c r="E290">
        <v>4</v>
      </c>
      <c r="F290">
        <v>0.16930000000000001</v>
      </c>
      <c r="G290">
        <f t="shared" si="4"/>
        <v>485</v>
      </c>
    </row>
    <row r="291" spans="2:7">
      <c r="B291">
        <v>486</v>
      </c>
      <c r="D291">
        <v>0.35492168099999999</v>
      </c>
      <c r="E291">
        <v>3.5492168049999999</v>
      </c>
      <c r="F291">
        <v>0.17620766376458102</v>
      </c>
      <c r="G291">
        <f t="shared" si="4"/>
        <v>486</v>
      </c>
    </row>
    <row r="292" spans="2:7">
      <c r="B292">
        <v>487</v>
      </c>
      <c r="D292">
        <v>0.31492349800000002</v>
      </c>
      <c r="E292">
        <v>3.1492349829999999</v>
      </c>
      <c r="F292">
        <v>0.18350297990433562</v>
      </c>
      <c r="G292">
        <f t="shared" si="4"/>
        <v>487</v>
      </c>
    </row>
    <row r="293" spans="2:7">
      <c r="B293">
        <v>488</v>
      </c>
      <c r="D293">
        <v>0.27943294299999999</v>
      </c>
      <c r="E293">
        <v>2.7943294320000001</v>
      </c>
      <c r="F293">
        <v>0.19121646416179972</v>
      </c>
      <c r="G293">
        <f t="shared" si="4"/>
        <v>488</v>
      </c>
    </row>
    <row r="294" spans="2:7">
      <c r="B294">
        <v>489</v>
      </c>
      <c r="D294">
        <v>0.24794202400000001</v>
      </c>
      <c r="E294">
        <v>2.479420245</v>
      </c>
      <c r="F294">
        <v>0.19937863227950919</v>
      </c>
      <c r="G294">
        <f t="shared" si="4"/>
        <v>489</v>
      </c>
    </row>
    <row r="295" spans="2:7">
      <c r="B295">
        <v>490</v>
      </c>
      <c r="D295">
        <v>0.22</v>
      </c>
      <c r="E295">
        <v>2.2000000000000002</v>
      </c>
      <c r="F295">
        <v>0.20802000000000001</v>
      </c>
      <c r="G295">
        <f t="shared" si="4"/>
        <v>490</v>
      </c>
    </row>
    <row r="296" spans="2:7">
      <c r="B296">
        <v>491</v>
      </c>
      <c r="D296">
        <v>0.20642492800000001</v>
      </c>
      <c r="E296">
        <v>2.064249277</v>
      </c>
      <c r="F296">
        <v>0.21716401999674462</v>
      </c>
      <c r="G296">
        <f t="shared" si="4"/>
        <v>491</v>
      </c>
    </row>
    <row r="297" spans="2:7">
      <c r="B297">
        <v>492</v>
      </c>
      <c r="D297">
        <v>0.19368750400000001</v>
      </c>
      <c r="E297">
        <v>1.936875036</v>
      </c>
      <c r="F297">
        <v>0.22680589266696174</v>
      </c>
      <c r="G297">
        <f t="shared" si="4"/>
        <v>492</v>
      </c>
    </row>
    <row r="298" spans="2:7">
      <c r="B298">
        <v>493</v>
      </c>
      <c r="D298">
        <v>0.18173604099999999</v>
      </c>
      <c r="E298">
        <v>1.8173604050000001</v>
      </c>
      <c r="F298">
        <v>0.23693375533880651</v>
      </c>
      <c r="G298">
        <f t="shared" si="4"/>
        <v>493</v>
      </c>
    </row>
    <row r="299" spans="2:7">
      <c r="B299">
        <v>494</v>
      </c>
      <c r="D299">
        <v>0.17052204100000001</v>
      </c>
      <c r="E299">
        <v>1.705220411</v>
      </c>
      <c r="F299">
        <v>0.24753574534043421</v>
      </c>
      <c r="G299">
        <f t="shared" si="4"/>
        <v>494</v>
      </c>
    </row>
    <row r="300" spans="2:7">
      <c r="B300">
        <v>495</v>
      </c>
      <c r="D300">
        <v>0.16</v>
      </c>
      <c r="E300">
        <v>1.6</v>
      </c>
      <c r="F300">
        <v>0.2586</v>
      </c>
      <c r="G300">
        <f t="shared" si="4"/>
        <v>495</v>
      </c>
    </row>
    <row r="301" spans="2:7">
      <c r="B301">
        <v>496</v>
      </c>
      <c r="D301">
        <v>0.14564513600000001</v>
      </c>
      <c r="E301">
        <v>1.4564513619999999</v>
      </c>
      <c r="F301">
        <v>0.27013513624844043</v>
      </c>
      <c r="G301">
        <f t="shared" si="4"/>
        <v>496</v>
      </c>
    </row>
    <row r="302" spans="2:7">
      <c r="B302">
        <v>497</v>
      </c>
      <c r="D302">
        <v>0.132578161</v>
      </c>
      <c r="E302">
        <v>1.3257816069999999</v>
      </c>
      <c r="F302">
        <v>0.28223168942781746</v>
      </c>
      <c r="G302">
        <f t="shared" si="4"/>
        <v>497</v>
      </c>
    </row>
    <row r="303" spans="2:7">
      <c r="B303">
        <v>498</v>
      </c>
      <c r="D303">
        <v>0.120683527</v>
      </c>
      <c r="E303">
        <v>1.206835267</v>
      </c>
      <c r="F303">
        <v>0.29500067448297423</v>
      </c>
      <c r="G303">
        <f t="shared" si="4"/>
        <v>498</v>
      </c>
    </row>
    <row r="304" spans="2:7">
      <c r="B304">
        <v>499</v>
      </c>
      <c r="D304">
        <v>0.10985605399999999</v>
      </c>
      <c r="E304">
        <v>1.0985605430000001</v>
      </c>
      <c r="F304">
        <v>0.30855310635875399</v>
      </c>
      <c r="G304">
        <f t="shared" si="4"/>
        <v>499</v>
      </c>
    </row>
    <row r="305" spans="2:7">
      <c r="B305">
        <v>500</v>
      </c>
      <c r="D305">
        <v>0.1</v>
      </c>
      <c r="E305">
        <v>1</v>
      </c>
      <c r="F305">
        <v>0.32300000000000001</v>
      </c>
      <c r="G305">
        <f t="shared" si="4"/>
        <v>500</v>
      </c>
    </row>
    <row r="306" spans="2:7">
      <c r="B306">
        <v>501</v>
      </c>
      <c r="D306">
        <v>9.5394957000000002E-2</v>
      </c>
      <c r="E306">
        <v>1</v>
      </c>
      <c r="F306">
        <v>0.33841047500949362</v>
      </c>
      <c r="G306">
        <f t="shared" si="4"/>
        <v>501</v>
      </c>
    </row>
    <row r="307" spans="2:7">
      <c r="B307">
        <v>502</v>
      </c>
      <c r="D307">
        <v>9.1001978999999997E-2</v>
      </c>
      <c r="E307">
        <v>1</v>
      </c>
      <c r="F307">
        <v>0.35468606962176852</v>
      </c>
      <c r="G307">
        <f t="shared" si="4"/>
        <v>502</v>
      </c>
    </row>
    <row r="308" spans="2:7">
      <c r="B308">
        <v>503</v>
      </c>
      <c r="D308">
        <v>8.6811298999999995E-2</v>
      </c>
      <c r="E308">
        <v>1</v>
      </c>
      <c r="F308">
        <v>0.37168642672929664</v>
      </c>
      <c r="G308">
        <f t="shared" si="4"/>
        <v>503</v>
      </c>
    </row>
    <row r="309" spans="2:7">
      <c r="B309">
        <v>504</v>
      </c>
      <c r="D309">
        <v>8.2813602E-2</v>
      </c>
      <c r="E309">
        <v>1</v>
      </c>
      <c r="F309">
        <v>0.38927118922454984</v>
      </c>
      <c r="G309">
        <f t="shared" si="4"/>
        <v>504</v>
      </c>
    </row>
    <row r="310" spans="2:7">
      <c r="B310">
        <v>505</v>
      </c>
      <c r="D310">
        <v>7.9000000000000001E-2</v>
      </c>
      <c r="E310">
        <v>1</v>
      </c>
      <c r="F310">
        <v>0.4073</v>
      </c>
      <c r="G310">
        <f t="shared" si="4"/>
        <v>505</v>
      </c>
    </row>
    <row r="311" spans="2:7">
      <c r="B311">
        <v>506</v>
      </c>
      <c r="D311">
        <v>7.5503969000000004E-2</v>
      </c>
      <c r="E311">
        <v>1</v>
      </c>
      <c r="F311">
        <v>0.42566296371358525</v>
      </c>
      <c r="G311">
        <f t="shared" si="4"/>
        <v>506</v>
      </c>
    </row>
    <row r="312" spans="2:7">
      <c r="B312">
        <v>507</v>
      </c>
      <c r="D312">
        <v>7.2162649999999995E-2</v>
      </c>
      <c r="E312">
        <v>1</v>
      </c>
      <c r="F312">
        <v>0.44437203208510856</v>
      </c>
      <c r="G312">
        <f t="shared" si="4"/>
        <v>507</v>
      </c>
    </row>
    <row r="313" spans="2:7">
      <c r="B313">
        <v>508</v>
      </c>
      <c r="D313">
        <v>6.8969195999999997E-2</v>
      </c>
      <c r="E313">
        <v>1</v>
      </c>
      <c r="F313">
        <v>0.46346961859983932</v>
      </c>
      <c r="G313">
        <f t="shared" si="4"/>
        <v>508</v>
      </c>
    </row>
    <row r="314" spans="2:7">
      <c r="B314">
        <v>509</v>
      </c>
      <c r="D314">
        <v>6.5917063999999997E-2</v>
      </c>
      <c r="E314">
        <v>1</v>
      </c>
      <c r="F314">
        <v>0.48299813674304676</v>
      </c>
      <c r="G314">
        <f t="shared" si="4"/>
        <v>509</v>
      </c>
    </row>
    <row r="315" spans="2:7">
      <c r="B315">
        <v>510</v>
      </c>
      <c r="D315">
        <v>6.3E-2</v>
      </c>
      <c r="E315">
        <v>1</v>
      </c>
      <c r="F315">
        <v>0.503</v>
      </c>
      <c r="G315">
        <f t="shared" si="4"/>
        <v>510</v>
      </c>
    </row>
    <row r="316" spans="2:7">
      <c r="B316">
        <v>511</v>
      </c>
      <c r="D316">
        <v>6.0154266999999997E-2</v>
      </c>
      <c r="E316">
        <v>1</v>
      </c>
      <c r="F316">
        <v>0.52349047013616556</v>
      </c>
      <c r="G316">
        <f t="shared" si="4"/>
        <v>511</v>
      </c>
    </row>
    <row r="317" spans="2:7">
      <c r="B317">
        <v>512</v>
      </c>
      <c r="D317">
        <v>5.7437077000000003E-2</v>
      </c>
      <c r="E317">
        <v>1</v>
      </c>
      <c r="F317">
        <v>0.54437620203779724</v>
      </c>
      <c r="G317">
        <f t="shared" si="4"/>
        <v>512</v>
      </c>
    </row>
    <row r="318" spans="2:7">
      <c r="B318">
        <v>513</v>
      </c>
      <c r="D318">
        <v>5.4842624E-2</v>
      </c>
      <c r="E318">
        <v>1</v>
      </c>
      <c r="F318">
        <v>0.56553669887134617</v>
      </c>
      <c r="G318">
        <f t="shared" si="4"/>
        <v>513</v>
      </c>
    </row>
    <row r="319" spans="2:7">
      <c r="B319">
        <v>514</v>
      </c>
      <c r="D319">
        <v>5.2365361999999999E-2</v>
      </c>
      <c r="E319">
        <v>1</v>
      </c>
      <c r="F319">
        <v>0.58685146380326347</v>
      </c>
      <c r="G319">
        <f t="shared" si="4"/>
        <v>514</v>
      </c>
    </row>
    <row r="320" spans="2:7">
      <c r="B320">
        <v>515</v>
      </c>
      <c r="D320">
        <v>0.05</v>
      </c>
      <c r="E320">
        <v>1</v>
      </c>
      <c r="F320">
        <v>0.60819999999999996</v>
      </c>
      <c r="G320">
        <f t="shared" si="4"/>
        <v>515</v>
      </c>
    </row>
    <row r="321" spans="2:7">
      <c r="B321">
        <v>516</v>
      </c>
      <c r="D321">
        <v>4.7817625000000002E-2</v>
      </c>
      <c r="E321">
        <v>1</v>
      </c>
      <c r="F321">
        <v>0.62945195574175272</v>
      </c>
      <c r="G321">
        <f t="shared" si="4"/>
        <v>516</v>
      </c>
    </row>
    <row r="322" spans="2:7">
      <c r="B322">
        <v>517</v>
      </c>
      <c r="D322">
        <v>4.5730504999999998E-2</v>
      </c>
      <c r="E322">
        <v>1</v>
      </c>
      <c r="F322">
        <v>0.65043755976370232</v>
      </c>
      <c r="G322">
        <f t="shared" si="4"/>
        <v>517</v>
      </c>
    </row>
    <row r="323" spans="2:7">
      <c r="B323">
        <v>518</v>
      </c>
      <c r="D323">
        <v>4.3734482999999998E-2</v>
      </c>
      <c r="E323">
        <v>1</v>
      </c>
      <c r="F323">
        <v>0.67097718591477573</v>
      </c>
      <c r="G323">
        <f t="shared" si="4"/>
        <v>518</v>
      </c>
    </row>
    <row r="324" spans="2:7">
      <c r="B324">
        <v>519</v>
      </c>
      <c r="D324">
        <v>4.1825582E-2</v>
      </c>
      <c r="E324">
        <v>1</v>
      </c>
      <c r="F324">
        <v>0.69089120804389925</v>
      </c>
      <c r="G324">
        <f t="shared" si="4"/>
        <v>519</v>
      </c>
    </row>
    <row r="325" spans="2:7">
      <c r="B325">
        <v>520</v>
      </c>
      <c r="D325">
        <v>0.04</v>
      </c>
      <c r="E325">
        <v>1</v>
      </c>
      <c r="F325">
        <v>0.71</v>
      </c>
      <c r="G325">
        <f t="shared" si="4"/>
        <v>520</v>
      </c>
    </row>
    <row r="326" spans="2:7">
      <c r="B326">
        <v>521</v>
      </c>
      <c r="D326">
        <v>3.8254099999999999E-2</v>
      </c>
      <c r="E326">
        <v>1</v>
      </c>
      <c r="F326">
        <v>0.72817210689682355</v>
      </c>
      <c r="G326">
        <f t="shared" ref="G326:G389" si="5">B326</f>
        <v>521</v>
      </c>
    </row>
    <row r="327" spans="2:7">
      <c r="B327">
        <v>522</v>
      </c>
      <c r="D327">
        <v>3.6584404000000001E-2</v>
      </c>
      <c r="E327">
        <v>1</v>
      </c>
      <c r="F327">
        <v>0.74546875890739295</v>
      </c>
      <c r="G327">
        <f t="shared" si="5"/>
        <v>522</v>
      </c>
    </row>
    <row r="328" spans="2:7">
      <c r="B328">
        <v>523</v>
      </c>
      <c r="D328">
        <v>3.4987586000000001E-2</v>
      </c>
      <c r="E328">
        <v>1</v>
      </c>
      <c r="F328">
        <v>0.76199935746955072</v>
      </c>
      <c r="G328">
        <f t="shared" si="5"/>
        <v>523</v>
      </c>
    </row>
    <row r="329" spans="2:7">
      <c r="B329">
        <v>524</v>
      </c>
      <c r="D329">
        <v>3.3460466000000001E-2</v>
      </c>
      <c r="E329">
        <v>1</v>
      </c>
      <c r="F329">
        <v>0.77787330402113897</v>
      </c>
      <c r="G329">
        <f t="shared" si="5"/>
        <v>524</v>
      </c>
    </row>
    <row r="330" spans="2:7">
      <c r="B330">
        <v>525</v>
      </c>
      <c r="D330">
        <v>3.2000000000000001E-2</v>
      </c>
      <c r="E330">
        <v>1</v>
      </c>
      <c r="F330">
        <v>0.79320000000000002</v>
      </c>
      <c r="G330">
        <f t="shared" si="5"/>
        <v>525</v>
      </c>
    </row>
    <row r="331" spans="2:7">
      <c r="B331">
        <v>526</v>
      </c>
      <c r="D331">
        <v>3.0458463000000002E-2</v>
      </c>
      <c r="E331">
        <v>1</v>
      </c>
      <c r="F331">
        <v>0.8080612166709531</v>
      </c>
      <c r="G331">
        <f t="shared" si="5"/>
        <v>526</v>
      </c>
    </row>
    <row r="332" spans="2:7">
      <c r="B332">
        <v>527</v>
      </c>
      <c r="D332">
        <v>2.8991187000000002E-2</v>
      </c>
      <c r="E332">
        <v>1</v>
      </c>
      <c r="F332">
        <v>0.82242820460672539</v>
      </c>
      <c r="G332">
        <f t="shared" si="5"/>
        <v>527</v>
      </c>
    </row>
    <row r="333" spans="2:7">
      <c r="B333">
        <v>528</v>
      </c>
      <c r="D333">
        <v>2.7594593000000001E-2</v>
      </c>
      <c r="E333">
        <v>1</v>
      </c>
      <c r="F333">
        <v>0.83624458420702119</v>
      </c>
      <c r="G333">
        <f t="shared" si="5"/>
        <v>528</v>
      </c>
    </row>
    <row r="334" spans="2:7">
      <c r="B334">
        <v>529</v>
      </c>
      <c r="D334">
        <v>2.6265278E-2</v>
      </c>
      <c r="E334">
        <v>1</v>
      </c>
      <c r="F334">
        <v>0.8494539758715447</v>
      </c>
      <c r="G334">
        <f t="shared" si="5"/>
        <v>529</v>
      </c>
    </row>
    <row r="335" spans="2:7">
      <c r="B335">
        <v>530</v>
      </c>
      <c r="D335">
        <v>2.5000000000000001E-2</v>
      </c>
      <c r="E335">
        <v>1</v>
      </c>
      <c r="F335">
        <v>0.86199999999999999</v>
      </c>
      <c r="G335">
        <f t="shared" si="5"/>
        <v>530</v>
      </c>
    </row>
    <row r="336" spans="2:7">
      <c r="B336">
        <v>531</v>
      </c>
      <c r="D336">
        <v>2.3908812000000002E-2</v>
      </c>
      <c r="E336">
        <v>1</v>
      </c>
      <c r="F336">
        <v>0.87384262641936417</v>
      </c>
      <c r="G336">
        <f t="shared" si="5"/>
        <v>531</v>
      </c>
    </row>
    <row r="337" spans="2:7">
      <c r="B337">
        <v>532</v>
      </c>
      <c r="D337">
        <v>2.2865252999999999E-2</v>
      </c>
      <c r="E337">
        <v>1</v>
      </c>
      <c r="F337">
        <v>0.8850072226657052</v>
      </c>
      <c r="G337">
        <f t="shared" si="5"/>
        <v>532</v>
      </c>
    </row>
    <row r="338" spans="2:7">
      <c r="B338">
        <v>533</v>
      </c>
      <c r="D338">
        <v>2.1867240999999999E-2</v>
      </c>
      <c r="E338">
        <v>1</v>
      </c>
      <c r="F338">
        <v>0.89553550570236429</v>
      </c>
      <c r="G338">
        <f t="shared" si="5"/>
        <v>533</v>
      </c>
    </row>
    <row r="339" spans="2:7">
      <c r="B339">
        <v>534</v>
      </c>
      <c r="D339">
        <v>2.0912791E-2</v>
      </c>
      <c r="E339">
        <v>1</v>
      </c>
      <c r="F339">
        <v>0.90546919249268232</v>
      </c>
      <c r="G339">
        <f t="shared" si="5"/>
        <v>534</v>
      </c>
    </row>
    <row r="340" spans="2:7">
      <c r="B340">
        <v>535</v>
      </c>
      <c r="D340">
        <v>0.02</v>
      </c>
      <c r="E340">
        <v>1</v>
      </c>
      <c r="F340">
        <v>0.91485000000000005</v>
      </c>
      <c r="G340">
        <f t="shared" si="5"/>
        <v>535</v>
      </c>
    </row>
    <row r="341" spans="2:7">
      <c r="B341">
        <v>536</v>
      </c>
      <c r="D341">
        <v>1.912705E-2</v>
      </c>
      <c r="E341">
        <v>1</v>
      </c>
      <c r="F341">
        <v>0.92371227765159059</v>
      </c>
      <c r="G341">
        <f t="shared" si="5"/>
        <v>536</v>
      </c>
    </row>
    <row r="342" spans="2:7">
      <c r="B342">
        <v>537</v>
      </c>
      <c r="D342">
        <v>1.8292202E-2</v>
      </c>
      <c r="E342">
        <v>1</v>
      </c>
      <c r="F342">
        <v>0.93206090473045367</v>
      </c>
      <c r="G342">
        <f t="shared" si="5"/>
        <v>537</v>
      </c>
    </row>
    <row r="343" spans="2:7">
      <c r="B343">
        <v>538</v>
      </c>
      <c r="D343">
        <v>1.7493793000000001E-2</v>
      </c>
      <c r="E343">
        <v>1</v>
      </c>
      <c r="F343">
        <v>0.9398933929835217</v>
      </c>
      <c r="G343">
        <f t="shared" si="5"/>
        <v>538</v>
      </c>
    </row>
    <row r="344" spans="2:7">
      <c r="B344">
        <v>539</v>
      </c>
      <c r="D344">
        <v>1.6730233000000001E-2</v>
      </c>
      <c r="E344">
        <v>1</v>
      </c>
      <c r="F344">
        <v>0.94720725415772644</v>
      </c>
      <c r="G344">
        <f t="shared" si="5"/>
        <v>539</v>
      </c>
    </row>
    <row r="345" spans="2:7">
      <c r="B345">
        <v>540</v>
      </c>
      <c r="D345">
        <v>1.6E-2</v>
      </c>
      <c r="E345">
        <v>1</v>
      </c>
      <c r="F345">
        <v>0.95399999999999996</v>
      </c>
      <c r="G345">
        <f t="shared" si="5"/>
        <v>540</v>
      </c>
    </row>
    <row r="346" spans="2:7">
      <c r="B346">
        <v>541</v>
      </c>
      <c r="D346">
        <v>1.5349162E-2</v>
      </c>
      <c r="E346">
        <v>1</v>
      </c>
      <c r="F346">
        <v>0.960271062974274</v>
      </c>
      <c r="G346">
        <f t="shared" si="5"/>
        <v>541</v>
      </c>
    </row>
    <row r="347" spans="2:7">
      <c r="B347">
        <v>542</v>
      </c>
      <c r="D347">
        <v>1.4724797E-2</v>
      </c>
      <c r="E347">
        <v>1</v>
      </c>
      <c r="F347">
        <v>0.96602755841247978</v>
      </c>
      <c r="G347">
        <f t="shared" si="5"/>
        <v>542</v>
      </c>
    </row>
    <row r="348" spans="2:7">
      <c r="B348">
        <v>543</v>
      </c>
      <c r="D348">
        <v>1.4125831E-2</v>
      </c>
      <c r="E348">
        <v>1</v>
      </c>
      <c r="F348">
        <v>0.9712785223635485</v>
      </c>
      <c r="G348">
        <f t="shared" si="5"/>
        <v>543</v>
      </c>
    </row>
    <row r="349" spans="2:7">
      <c r="B349">
        <v>544</v>
      </c>
      <c r="D349">
        <v>1.3551229E-2</v>
      </c>
      <c r="E349">
        <v>1</v>
      </c>
      <c r="F349">
        <v>0.97603299087641171</v>
      </c>
      <c r="G349">
        <f t="shared" si="5"/>
        <v>544</v>
      </c>
    </row>
    <row r="350" spans="2:7">
      <c r="B350">
        <v>545</v>
      </c>
      <c r="D350">
        <v>1.2999999999999999E-2</v>
      </c>
      <c r="E350">
        <v>1</v>
      </c>
      <c r="F350">
        <v>0.98029999999999995</v>
      </c>
      <c r="G350">
        <f t="shared" si="5"/>
        <v>545</v>
      </c>
    </row>
    <row r="351" spans="2:7">
      <c r="B351">
        <v>546</v>
      </c>
      <c r="D351">
        <v>1.2335441000000001E-2</v>
      </c>
      <c r="E351">
        <v>1</v>
      </c>
      <c r="F351">
        <v>0.9840910704513135</v>
      </c>
      <c r="G351">
        <f t="shared" si="5"/>
        <v>546</v>
      </c>
    </row>
    <row r="352" spans="2:7">
      <c r="B352">
        <v>547</v>
      </c>
      <c r="D352">
        <v>1.1704854000000001E-2</v>
      </c>
      <c r="E352">
        <v>1</v>
      </c>
      <c r="F352">
        <v>0.98742766161962681</v>
      </c>
      <c r="G352">
        <f t="shared" si="5"/>
        <v>547</v>
      </c>
    </row>
    <row r="353" spans="2:7">
      <c r="B353">
        <v>548</v>
      </c>
      <c r="D353">
        <v>1.1106503E-2</v>
      </c>
      <c r="E353">
        <v>1</v>
      </c>
      <c r="F353">
        <v>0.9903337175622835</v>
      </c>
      <c r="G353">
        <f t="shared" si="5"/>
        <v>548</v>
      </c>
    </row>
    <row r="354" spans="2:7">
      <c r="B354">
        <v>549</v>
      </c>
      <c r="D354">
        <v>1.053874E-2</v>
      </c>
      <c r="E354">
        <v>1</v>
      </c>
      <c r="F354">
        <v>0.99283318233662676</v>
      </c>
      <c r="G354">
        <f t="shared" si="5"/>
        <v>549</v>
      </c>
    </row>
    <row r="355" spans="2:7">
      <c r="B355">
        <v>550</v>
      </c>
      <c r="D355">
        <v>0.01</v>
      </c>
      <c r="E355">
        <v>1</v>
      </c>
      <c r="F355">
        <v>0.99495</v>
      </c>
      <c r="G355">
        <f t="shared" si="5"/>
        <v>550</v>
      </c>
    </row>
    <row r="356" spans="2:7">
      <c r="B356">
        <v>551</v>
      </c>
      <c r="D356">
        <v>9.5635249999999998E-3</v>
      </c>
      <c r="E356">
        <v>1</v>
      </c>
      <c r="F356">
        <v>0.99670305522047198</v>
      </c>
      <c r="G356">
        <f t="shared" si="5"/>
        <v>551</v>
      </c>
    </row>
    <row r="357" spans="2:7">
      <c r="B357">
        <v>552</v>
      </c>
      <c r="D357">
        <v>9.1461010000000002E-3</v>
      </c>
      <c r="E357">
        <v>1</v>
      </c>
      <c r="F357">
        <v>0.99809099510901289</v>
      </c>
      <c r="G357">
        <f t="shared" si="5"/>
        <v>552</v>
      </c>
    </row>
    <row r="358" spans="2:7">
      <c r="B358">
        <v>553</v>
      </c>
      <c r="D358">
        <v>8.746897E-3</v>
      </c>
      <c r="E358">
        <v>1</v>
      </c>
      <c r="F358">
        <v>0.99910740738731751</v>
      </c>
      <c r="G358">
        <f t="shared" si="5"/>
        <v>553</v>
      </c>
    </row>
    <row r="359" spans="2:7">
      <c r="B359">
        <v>554</v>
      </c>
      <c r="D359">
        <v>8.3651160000000006E-3</v>
      </c>
      <c r="E359">
        <v>1</v>
      </c>
      <c r="F359">
        <v>0.99974587977708151</v>
      </c>
      <c r="G359">
        <f t="shared" si="5"/>
        <v>554</v>
      </c>
    </row>
    <row r="360" spans="2:7">
      <c r="B360">
        <v>555</v>
      </c>
      <c r="D360">
        <v>8.0000000000000002E-3</v>
      </c>
      <c r="E360">
        <v>1</v>
      </c>
      <c r="F360">
        <v>1</v>
      </c>
      <c r="G360">
        <f t="shared" si="5"/>
        <v>555</v>
      </c>
    </row>
    <row r="361" spans="2:7">
      <c r="B361">
        <v>556</v>
      </c>
      <c r="D361">
        <v>7.5526999999999999E-3</v>
      </c>
      <c r="E361">
        <v>1</v>
      </c>
      <c r="F361">
        <v>0.99986110866679845</v>
      </c>
      <c r="G361">
        <f t="shared" si="5"/>
        <v>556</v>
      </c>
    </row>
    <row r="362" spans="2:7">
      <c r="B362">
        <v>557</v>
      </c>
      <c r="D362">
        <v>7.1304100000000002E-3</v>
      </c>
      <c r="E362">
        <v>1</v>
      </c>
      <c r="F362">
        <v>0.99931155794432192</v>
      </c>
      <c r="G362">
        <f t="shared" si="5"/>
        <v>557</v>
      </c>
    </row>
    <row r="363" spans="2:7">
      <c r="B363">
        <v>558</v>
      </c>
      <c r="D363">
        <v>6.7317310000000003E-3</v>
      </c>
      <c r="E363">
        <v>1</v>
      </c>
      <c r="F363">
        <v>0.99833145288844638</v>
      </c>
      <c r="G363">
        <f t="shared" si="5"/>
        <v>558</v>
      </c>
    </row>
    <row r="364" spans="2:7">
      <c r="B364">
        <v>559</v>
      </c>
      <c r="D364">
        <v>6.3553430000000003E-3</v>
      </c>
      <c r="E364">
        <v>1</v>
      </c>
      <c r="F364">
        <v>0.99690089855504727</v>
      </c>
      <c r="G364">
        <f t="shared" si="5"/>
        <v>559</v>
      </c>
    </row>
    <row r="365" spans="2:7">
      <c r="B365">
        <v>560</v>
      </c>
      <c r="D365">
        <v>6.0000000000000001E-3</v>
      </c>
      <c r="E365">
        <v>1</v>
      </c>
      <c r="F365">
        <v>0.995</v>
      </c>
      <c r="G365">
        <f t="shared" si="5"/>
        <v>560</v>
      </c>
    </row>
    <row r="366" spans="2:7">
      <c r="B366">
        <v>561</v>
      </c>
      <c r="D366">
        <v>5.7851550000000002E-3</v>
      </c>
      <c r="E366">
        <v>1</v>
      </c>
      <c r="F366">
        <v>0.99261571011233474</v>
      </c>
      <c r="G366">
        <f t="shared" si="5"/>
        <v>561</v>
      </c>
    </row>
    <row r="367" spans="2:7">
      <c r="B367">
        <v>562</v>
      </c>
      <c r="D367">
        <v>5.5780029999999998E-3</v>
      </c>
      <c r="E367">
        <v>1</v>
      </c>
      <c r="F367">
        <v>0.98976237311369941</v>
      </c>
      <c r="G367">
        <f t="shared" si="5"/>
        <v>562</v>
      </c>
    </row>
    <row r="368" spans="2:7">
      <c r="B368">
        <v>563</v>
      </c>
      <c r="D368">
        <v>5.3782689999999998E-3</v>
      </c>
      <c r="E368">
        <v>1</v>
      </c>
      <c r="F368">
        <v>0.98646118105889691</v>
      </c>
      <c r="G368">
        <f t="shared" si="5"/>
        <v>563</v>
      </c>
    </row>
    <row r="369" spans="2:7">
      <c r="B369">
        <v>564</v>
      </c>
      <c r="D369">
        <v>5.1856860000000001E-3</v>
      </c>
      <c r="E369">
        <v>1</v>
      </c>
      <c r="F369">
        <v>0.98273332600272967</v>
      </c>
      <c r="G369">
        <f t="shared" si="5"/>
        <v>564</v>
      </c>
    </row>
    <row r="370" spans="2:7">
      <c r="B370">
        <v>565</v>
      </c>
      <c r="D370">
        <v>5.0000000000000001E-3</v>
      </c>
      <c r="E370">
        <v>1</v>
      </c>
      <c r="F370">
        <v>0.97860000000000003</v>
      </c>
      <c r="G370">
        <f t="shared" si="5"/>
        <v>565</v>
      </c>
    </row>
    <row r="371" spans="2:7">
      <c r="B371">
        <v>566</v>
      </c>
      <c r="D371">
        <v>4.7817620000000002E-3</v>
      </c>
      <c r="E371">
        <v>1</v>
      </c>
      <c r="F371">
        <v>0.97407765088386289</v>
      </c>
      <c r="G371">
        <f t="shared" si="5"/>
        <v>566</v>
      </c>
    </row>
    <row r="372" spans="2:7">
      <c r="B372">
        <v>567</v>
      </c>
      <c r="D372">
        <v>4.5730509999999999E-3</v>
      </c>
      <c r="E372">
        <v>1</v>
      </c>
      <c r="F372">
        <v>0.96916374960088025</v>
      </c>
      <c r="G372">
        <f t="shared" si="5"/>
        <v>567</v>
      </c>
    </row>
    <row r="373" spans="2:7">
      <c r="B373">
        <v>568</v>
      </c>
      <c r="D373">
        <v>4.3734480000000003E-3</v>
      </c>
      <c r="E373">
        <v>1</v>
      </c>
      <c r="F373">
        <v>0.96385102287596602</v>
      </c>
      <c r="G373">
        <f t="shared" si="5"/>
        <v>568</v>
      </c>
    </row>
    <row r="374" spans="2:7">
      <c r="B374">
        <v>569</v>
      </c>
      <c r="D374">
        <v>4.1825580000000003E-3</v>
      </c>
      <c r="E374">
        <v>1</v>
      </c>
      <c r="F374">
        <v>0.95813219743403477</v>
      </c>
      <c r="G374">
        <f t="shared" si="5"/>
        <v>569</v>
      </c>
    </row>
    <row r="375" spans="2:7">
      <c r="B375">
        <v>570</v>
      </c>
      <c r="D375">
        <v>4.0000000000000001E-3</v>
      </c>
      <c r="E375">
        <v>1</v>
      </c>
      <c r="F375">
        <v>0.95199999999999996</v>
      </c>
      <c r="G375">
        <f t="shared" si="5"/>
        <v>570</v>
      </c>
    </row>
    <row r="376" spans="2:7">
      <c r="B376">
        <v>571</v>
      </c>
      <c r="D376">
        <v>3.7763499999999999E-3</v>
      </c>
      <c r="E376">
        <v>1</v>
      </c>
      <c r="F376">
        <v>0.94545128635221398</v>
      </c>
      <c r="G376">
        <f t="shared" si="5"/>
        <v>571</v>
      </c>
    </row>
    <row r="377" spans="2:7">
      <c r="B377">
        <v>572</v>
      </c>
      <c r="D377">
        <v>3.5652050000000001E-3</v>
      </c>
      <c r="E377">
        <v>1</v>
      </c>
      <c r="F377">
        <v>0.93849942848277979</v>
      </c>
      <c r="G377">
        <f t="shared" si="5"/>
        <v>572</v>
      </c>
    </row>
    <row r="378" spans="2:7">
      <c r="B378">
        <v>573</v>
      </c>
      <c r="D378">
        <v>3.365865E-3</v>
      </c>
      <c r="E378">
        <v>1</v>
      </c>
      <c r="F378">
        <v>0.93116192743723869</v>
      </c>
      <c r="G378">
        <f t="shared" si="5"/>
        <v>573</v>
      </c>
    </row>
    <row r="379" spans="2:7">
      <c r="B379">
        <v>574</v>
      </c>
      <c r="D379">
        <v>3.1776719999999999E-3</v>
      </c>
      <c r="E379">
        <v>1</v>
      </c>
      <c r="F379">
        <v>0.92345628426113191</v>
      </c>
      <c r="G379">
        <f t="shared" si="5"/>
        <v>574</v>
      </c>
    </row>
    <row r="380" spans="2:7">
      <c r="B380">
        <v>575</v>
      </c>
      <c r="D380">
        <v>3.0000000000000001E-3</v>
      </c>
      <c r="E380">
        <v>1</v>
      </c>
      <c r="F380">
        <v>0.91539999999999999</v>
      </c>
      <c r="G380">
        <f t="shared" si="5"/>
        <v>575</v>
      </c>
    </row>
    <row r="381" spans="2:7">
      <c r="B381">
        <v>576</v>
      </c>
      <c r="D381">
        <v>2.7663240000000001E-3</v>
      </c>
      <c r="E381">
        <v>1</v>
      </c>
      <c r="F381">
        <v>0.90700680370728148</v>
      </c>
      <c r="G381">
        <f t="shared" si="5"/>
        <v>576</v>
      </c>
    </row>
    <row r="382" spans="2:7">
      <c r="B382">
        <v>577</v>
      </c>
      <c r="D382">
        <v>2.550849E-3</v>
      </c>
      <c r="E382">
        <v>1</v>
      </c>
      <c r="F382">
        <v>0.89827533646800051</v>
      </c>
      <c r="G382">
        <f t="shared" si="5"/>
        <v>577</v>
      </c>
    </row>
    <row r="383" spans="2:7">
      <c r="B383">
        <v>578</v>
      </c>
      <c r="D383">
        <v>2.352158E-3</v>
      </c>
      <c r="E383">
        <v>1</v>
      </c>
      <c r="F383">
        <v>0.88920046737507896</v>
      </c>
      <c r="G383">
        <f t="shared" si="5"/>
        <v>578</v>
      </c>
    </row>
    <row r="384" spans="2:7">
      <c r="B384">
        <v>579</v>
      </c>
      <c r="D384">
        <v>2.1689439999999999E-3</v>
      </c>
      <c r="E384">
        <v>1</v>
      </c>
      <c r="F384">
        <v>0.87977706552143831</v>
      </c>
      <c r="G384">
        <f t="shared" si="5"/>
        <v>579</v>
      </c>
    </row>
    <row r="385" spans="2:7">
      <c r="B385">
        <v>580</v>
      </c>
      <c r="D385">
        <v>2E-3</v>
      </c>
      <c r="E385">
        <v>1</v>
      </c>
      <c r="F385">
        <v>0.87</v>
      </c>
      <c r="G385">
        <f t="shared" si="5"/>
        <v>580</v>
      </c>
    </row>
    <row r="386" spans="2:7">
      <c r="B386">
        <v>581</v>
      </c>
      <c r="D386">
        <v>1.7411010000000001E-3</v>
      </c>
      <c r="E386">
        <v>1</v>
      </c>
      <c r="F386">
        <v>0.85986949881866093</v>
      </c>
      <c r="G386">
        <f t="shared" si="5"/>
        <v>581</v>
      </c>
    </row>
    <row r="387" spans="2:7">
      <c r="B387">
        <v>582</v>
      </c>
      <c r="D387">
        <v>1.515717E-3</v>
      </c>
      <c r="E387">
        <v>1</v>
      </c>
      <c r="F387">
        <v>0.84940722564521842</v>
      </c>
      <c r="G387">
        <f t="shared" si="5"/>
        <v>582</v>
      </c>
    </row>
    <row r="388" spans="2:7">
      <c r="B388">
        <v>583</v>
      </c>
      <c r="D388">
        <v>1.3195080000000001E-3</v>
      </c>
      <c r="E388">
        <v>1</v>
      </c>
      <c r="F388">
        <v>0.83864020306244547</v>
      </c>
      <c r="G388">
        <f t="shared" si="5"/>
        <v>583</v>
      </c>
    </row>
    <row r="389" spans="2:7">
      <c r="B389">
        <v>584</v>
      </c>
      <c r="D389">
        <v>1.1486980000000001E-3</v>
      </c>
      <c r="E389">
        <v>1</v>
      </c>
      <c r="F389">
        <v>0.82759545365311526</v>
      </c>
      <c r="G389">
        <f t="shared" si="5"/>
        <v>584</v>
      </c>
    </row>
    <row r="390" spans="2:7">
      <c r="B390">
        <v>585</v>
      </c>
      <c r="D390">
        <v>1E-3</v>
      </c>
      <c r="E390">
        <v>1</v>
      </c>
      <c r="F390">
        <v>0.81630000000000003</v>
      </c>
      <c r="G390">
        <f t="shared" ref="G390:G453" si="6">B390</f>
        <v>585</v>
      </c>
    </row>
    <row r="391" spans="2:7">
      <c r="B391">
        <v>586</v>
      </c>
      <c r="D391">
        <v>1E-3</v>
      </c>
      <c r="E391">
        <v>1</v>
      </c>
      <c r="F391">
        <v>0.80478080101807548</v>
      </c>
      <c r="G391">
        <f t="shared" si="6"/>
        <v>586</v>
      </c>
    </row>
    <row r="392" spans="2:7">
      <c r="B392">
        <v>587</v>
      </c>
      <c r="D392">
        <v>1E-3</v>
      </c>
      <c r="E392">
        <v>1</v>
      </c>
      <c r="F392">
        <v>0.7930645609511261</v>
      </c>
      <c r="G392">
        <f t="shared" si="6"/>
        <v>587</v>
      </c>
    </row>
    <row r="393" spans="2:7">
      <c r="B393">
        <v>588</v>
      </c>
      <c r="D393">
        <v>1E-3</v>
      </c>
      <c r="E393">
        <v>1</v>
      </c>
      <c r="F393">
        <v>0.781177920375139</v>
      </c>
      <c r="G393">
        <f t="shared" si="6"/>
        <v>588</v>
      </c>
    </row>
    <row r="394" spans="2:7">
      <c r="B394">
        <v>589</v>
      </c>
      <c r="D394">
        <v>1E-3</v>
      </c>
      <c r="E394">
        <v>1</v>
      </c>
      <c r="F394">
        <v>0.7691475198661013</v>
      </c>
      <c r="G394">
        <f t="shared" si="6"/>
        <v>589</v>
      </c>
    </row>
    <row r="395" spans="2:7">
      <c r="B395">
        <v>590</v>
      </c>
      <c r="D395">
        <v>1E-3</v>
      </c>
      <c r="E395">
        <v>1</v>
      </c>
      <c r="F395">
        <v>0.75700000000000001</v>
      </c>
      <c r="G395">
        <f t="shared" si="6"/>
        <v>590</v>
      </c>
    </row>
    <row r="396" spans="2:7">
      <c r="B396">
        <v>591</v>
      </c>
      <c r="D396">
        <v>1E-3</v>
      </c>
      <c r="E396">
        <v>1</v>
      </c>
      <c r="F396">
        <v>0.74475769710903772</v>
      </c>
      <c r="G396">
        <f t="shared" si="6"/>
        <v>591</v>
      </c>
    </row>
    <row r="397" spans="2:7">
      <c r="B397">
        <v>592</v>
      </c>
      <c r="D397">
        <v>1E-3</v>
      </c>
      <c r="E397">
        <v>1</v>
      </c>
      <c r="F397">
        <v>0.7324257305502776</v>
      </c>
      <c r="G397">
        <f t="shared" si="6"/>
        <v>592</v>
      </c>
    </row>
    <row r="398" spans="2:7">
      <c r="B398">
        <v>593</v>
      </c>
      <c r="D398">
        <v>1E-3</v>
      </c>
      <c r="E398">
        <v>1</v>
      </c>
      <c r="F398">
        <v>0.72000491543699896</v>
      </c>
      <c r="G398">
        <f t="shared" si="6"/>
        <v>593</v>
      </c>
    </row>
    <row r="399" spans="2:7">
      <c r="B399">
        <v>594</v>
      </c>
      <c r="D399">
        <v>1E-3</v>
      </c>
      <c r="E399">
        <v>1</v>
      </c>
      <c r="F399">
        <v>0.70749606688248001</v>
      </c>
      <c r="G399">
        <f t="shared" si="6"/>
        <v>594</v>
      </c>
    </row>
    <row r="400" spans="2:7">
      <c r="B400">
        <v>595</v>
      </c>
      <c r="D400">
        <v>1E-3</v>
      </c>
      <c r="E400">
        <v>1</v>
      </c>
      <c r="F400">
        <v>0.69489999999999996</v>
      </c>
      <c r="G400">
        <f t="shared" si="6"/>
        <v>595</v>
      </c>
    </row>
    <row r="401" spans="2:7">
      <c r="B401">
        <v>596</v>
      </c>
      <c r="D401">
        <v>1E-3</v>
      </c>
      <c r="E401">
        <v>1</v>
      </c>
      <c r="F401">
        <v>0.68222041054577387</v>
      </c>
      <c r="G401">
        <f t="shared" si="6"/>
        <v>596</v>
      </c>
    </row>
    <row r="402" spans="2:7">
      <c r="B402">
        <v>597</v>
      </c>
      <c r="D402">
        <v>1E-3</v>
      </c>
      <c r="E402">
        <v>1</v>
      </c>
      <c r="F402">
        <v>0.66947251684776321</v>
      </c>
      <c r="G402">
        <f t="shared" si="6"/>
        <v>597</v>
      </c>
    </row>
    <row r="403" spans="2:7">
      <c r="B403">
        <v>598</v>
      </c>
      <c r="D403">
        <v>1E-3</v>
      </c>
      <c r="E403">
        <v>1</v>
      </c>
      <c r="F403">
        <v>0.65667441787686542</v>
      </c>
      <c r="G403">
        <f t="shared" si="6"/>
        <v>598</v>
      </c>
    </row>
    <row r="404" spans="2:7">
      <c r="B404">
        <v>599</v>
      </c>
      <c r="D404">
        <v>1E-3</v>
      </c>
      <c r="E404">
        <v>1</v>
      </c>
      <c r="F404">
        <v>0.64384421260397851</v>
      </c>
      <c r="G404">
        <f t="shared" si="6"/>
        <v>599</v>
      </c>
    </row>
    <row r="405" spans="2:7">
      <c r="B405">
        <v>600</v>
      </c>
      <c r="D405">
        <v>1E-3</v>
      </c>
      <c r="E405">
        <v>1</v>
      </c>
      <c r="F405">
        <v>0.63100000000000001</v>
      </c>
      <c r="G405">
        <f t="shared" si="6"/>
        <v>600</v>
      </c>
    </row>
    <row r="406" spans="2:7">
      <c r="B406">
        <v>601</v>
      </c>
      <c r="D406">
        <v>1E-3</v>
      </c>
      <c r="E406">
        <v>1</v>
      </c>
      <c r="F406">
        <v>0.61815666070786668</v>
      </c>
      <c r="G406">
        <f t="shared" si="6"/>
        <v>601</v>
      </c>
    </row>
    <row r="407" spans="2:7">
      <c r="B407">
        <v>602</v>
      </c>
      <c r="D407">
        <v>1E-3</v>
      </c>
      <c r="E407">
        <v>1</v>
      </c>
      <c r="F407">
        <v>0.60531620205866965</v>
      </c>
      <c r="G407">
        <f t="shared" si="6"/>
        <v>602</v>
      </c>
    </row>
    <row r="408" spans="2:7">
      <c r="B408">
        <v>603</v>
      </c>
      <c r="D408">
        <v>1E-3</v>
      </c>
      <c r="E408">
        <v>1</v>
      </c>
      <c r="F408">
        <v>0.59247741305553947</v>
      </c>
      <c r="G408">
        <f t="shared" si="6"/>
        <v>603</v>
      </c>
    </row>
    <row r="409" spans="2:7">
      <c r="B409">
        <v>604</v>
      </c>
      <c r="D409">
        <v>1E-3</v>
      </c>
      <c r="E409">
        <v>1</v>
      </c>
      <c r="F409">
        <v>0.57963908270160625</v>
      </c>
      <c r="G409">
        <f t="shared" si="6"/>
        <v>604</v>
      </c>
    </row>
    <row r="410" spans="2:7">
      <c r="B410">
        <v>605</v>
      </c>
      <c r="D410">
        <v>1E-3</v>
      </c>
      <c r="E410">
        <v>1</v>
      </c>
      <c r="F410">
        <v>0.56679999999999997</v>
      </c>
      <c r="G410">
        <f t="shared" si="6"/>
        <v>605</v>
      </c>
    </row>
    <row r="411" spans="2:7">
      <c r="B411">
        <v>606</v>
      </c>
      <c r="D411">
        <v>1E-3</v>
      </c>
      <c r="E411">
        <v>1</v>
      </c>
      <c r="F411">
        <v>0.55396254662275968</v>
      </c>
      <c r="G411">
        <f t="shared" si="6"/>
        <v>606</v>
      </c>
    </row>
    <row r="412" spans="2:7">
      <c r="B412">
        <v>607</v>
      </c>
      <c r="D412">
        <v>1E-3</v>
      </c>
      <c r="E412">
        <v>1</v>
      </c>
      <c r="F412">
        <v>0.5411434749175581</v>
      </c>
      <c r="G412">
        <f t="shared" si="6"/>
        <v>607</v>
      </c>
    </row>
    <row r="413" spans="2:7">
      <c r="B413">
        <v>608</v>
      </c>
      <c r="D413">
        <v>1E-3</v>
      </c>
      <c r="E413">
        <v>1</v>
      </c>
      <c r="F413">
        <v>0.52836312990097678</v>
      </c>
      <c r="G413">
        <f t="shared" si="6"/>
        <v>608</v>
      </c>
    </row>
    <row r="414" spans="2:7">
      <c r="B414">
        <v>609</v>
      </c>
      <c r="D414">
        <v>1E-3</v>
      </c>
      <c r="E414">
        <v>1</v>
      </c>
      <c r="F414">
        <v>0.51564185658959694</v>
      </c>
      <c r="G414">
        <f t="shared" si="6"/>
        <v>609</v>
      </c>
    </row>
    <row r="415" spans="2:7">
      <c r="B415">
        <v>610</v>
      </c>
      <c r="D415">
        <v>1E-3</v>
      </c>
      <c r="E415">
        <v>1</v>
      </c>
      <c r="F415">
        <v>0.503</v>
      </c>
      <c r="G415">
        <f t="shared" si="6"/>
        <v>610</v>
      </c>
    </row>
    <row r="416" spans="2:7">
      <c r="B416">
        <v>611</v>
      </c>
      <c r="D416">
        <v>1E-3</v>
      </c>
      <c r="E416">
        <v>1</v>
      </c>
      <c r="F416">
        <v>0.49045395280109461</v>
      </c>
      <c r="G416">
        <f t="shared" si="6"/>
        <v>611</v>
      </c>
    </row>
    <row r="417" spans="2:7">
      <c r="B417">
        <v>612</v>
      </c>
      <c r="D417">
        <v>1E-3</v>
      </c>
      <c r="E417">
        <v>1</v>
      </c>
      <c r="F417">
        <v>0.47800429827109775</v>
      </c>
      <c r="G417">
        <f t="shared" si="6"/>
        <v>612</v>
      </c>
    </row>
    <row r="418" spans="2:7">
      <c r="B418">
        <v>613</v>
      </c>
      <c r="D418">
        <v>1E-3</v>
      </c>
      <c r="E418">
        <v>1</v>
      </c>
      <c r="F418">
        <v>0.46564766734055357</v>
      </c>
      <c r="G418">
        <f t="shared" si="6"/>
        <v>613</v>
      </c>
    </row>
    <row r="419" spans="2:7">
      <c r="B419">
        <v>614</v>
      </c>
      <c r="D419">
        <v>1E-3</v>
      </c>
      <c r="E419">
        <v>1</v>
      </c>
      <c r="F419">
        <v>0.45338069094000627</v>
      </c>
      <c r="G419">
        <f t="shared" si="6"/>
        <v>614</v>
      </c>
    </row>
    <row r="420" spans="2:7">
      <c r="B420">
        <v>615</v>
      </c>
      <c r="D420">
        <v>1E-3</v>
      </c>
      <c r="E420">
        <v>1</v>
      </c>
      <c r="F420">
        <v>0.44119999999999998</v>
      </c>
      <c r="G420">
        <f t="shared" si="6"/>
        <v>615</v>
      </c>
    </row>
    <row r="421" spans="2:7">
      <c r="B421">
        <v>616</v>
      </c>
      <c r="D421">
        <v>1E-3</v>
      </c>
      <c r="E421">
        <v>1</v>
      </c>
      <c r="F421">
        <v>0.42909844217286192</v>
      </c>
      <c r="G421">
        <f t="shared" si="6"/>
        <v>616</v>
      </c>
    </row>
    <row r="422" spans="2:7">
      <c r="B422">
        <v>617</v>
      </c>
      <c r="D422">
        <v>1E-3</v>
      </c>
      <c r="E422">
        <v>1</v>
      </c>
      <c r="F422">
        <v>0.4170537319980509</v>
      </c>
      <c r="G422">
        <f t="shared" si="6"/>
        <v>617</v>
      </c>
    </row>
    <row r="423" spans="2:7">
      <c r="B423">
        <v>618</v>
      </c>
      <c r="D423">
        <v>1E-3</v>
      </c>
      <c r="E423">
        <v>1</v>
      </c>
      <c r="F423">
        <v>0.40503980073680901</v>
      </c>
      <c r="G423">
        <f t="shared" si="6"/>
        <v>618</v>
      </c>
    </row>
    <row r="424" spans="2:7">
      <c r="B424">
        <v>619</v>
      </c>
      <c r="D424">
        <v>1E-3</v>
      </c>
      <c r="E424">
        <v>1</v>
      </c>
      <c r="F424">
        <v>0.39303057965037808</v>
      </c>
      <c r="G424">
        <f t="shared" si="6"/>
        <v>619</v>
      </c>
    </row>
    <row r="425" spans="2:7">
      <c r="B425">
        <v>620</v>
      </c>
      <c r="D425">
        <v>1E-3</v>
      </c>
      <c r="E425">
        <v>1</v>
      </c>
      <c r="F425">
        <v>0.38100000000000001</v>
      </c>
      <c r="G425">
        <f t="shared" si="6"/>
        <v>620</v>
      </c>
    </row>
    <row r="426" spans="2:7">
      <c r="B426">
        <v>621</v>
      </c>
      <c r="D426">
        <v>1E-3</v>
      </c>
      <c r="E426">
        <v>1</v>
      </c>
      <c r="F426">
        <v>0.36893307850745777</v>
      </c>
      <c r="G426">
        <f t="shared" si="6"/>
        <v>621</v>
      </c>
    </row>
    <row r="427" spans="2:7">
      <c r="B427">
        <v>622</v>
      </c>
      <c r="D427">
        <v>1E-3</v>
      </c>
      <c r="E427">
        <v>1</v>
      </c>
      <c r="F427">
        <v>0.35685917373669845</v>
      </c>
      <c r="G427">
        <f t="shared" si="6"/>
        <v>622</v>
      </c>
    </row>
    <row r="428" spans="2:7">
      <c r="B428">
        <v>623</v>
      </c>
      <c r="D428">
        <v>1E-3</v>
      </c>
      <c r="E428">
        <v>1</v>
      </c>
      <c r="F428">
        <v>0.34481872971221028</v>
      </c>
      <c r="G428">
        <f t="shared" si="6"/>
        <v>623</v>
      </c>
    </row>
    <row r="429" spans="2:7">
      <c r="B429">
        <v>624</v>
      </c>
      <c r="D429">
        <v>1E-3</v>
      </c>
      <c r="E429">
        <v>1</v>
      </c>
      <c r="F429">
        <v>0.33285219045848147</v>
      </c>
      <c r="G429">
        <f t="shared" si="6"/>
        <v>624</v>
      </c>
    </row>
    <row r="430" spans="2:7">
      <c r="B430">
        <v>625</v>
      </c>
      <c r="D430">
        <v>1E-3</v>
      </c>
      <c r="E430">
        <v>1</v>
      </c>
      <c r="F430">
        <v>0.32100000000000001</v>
      </c>
      <c r="G430">
        <f t="shared" si="6"/>
        <v>625</v>
      </c>
    </row>
    <row r="431" spans="2:7">
      <c r="B431">
        <v>626</v>
      </c>
      <c r="D431">
        <v>1E-3</v>
      </c>
      <c r="E431">
        <v>1</v>
      </c>
      <c r="F431">
        <v>0.30930364379730707</v>
      </c>
      <c r="G431">
        <f t="shared" si="6"/>
        <v>626</v>
      </c>
    </row>
    <row r="432" spans="2:7">
      <c r="B432">
        <v>627</v>
      </c>
      <c r="D432">
        <v>1E-3</v>
      </c>
      <c r="E432">
        <v>1</v>
      </c>
      <c r="F432">
        <v>0.29780877305515513</v>
      </c>
      <c r="G432">
        <f t="shared" si="6"/>
        <v>627</v>
      </c>
    </row>
    <row r="433" spans="2:7">
      <c r="B433">
        <v>628</v>
      </c>
      <c r="D433">
        <v>1E-3</v>
      </c>
      <c r="E433">
        <v>1</v>
      </c>
      <c r="F433">
        <v>0.28656208041434972</v>
      </c>
      <c r="G433">
        <f t="shared" si="6"/>
        <v>628</v>
      </c>
    </row>
    <row r="434" spans="2:7">
      <c r="B434">
        <v>629</v>
      </c>
      <c r="D434">
        <v>1E-3</v>
      </c>
      <c r="E434">
        <v>1</v>
      </c>
      <c r="F434">
        <v>0.2756102585156962</v>
      </c>
      <c r="G434">
        <f t="shared" si="6"/>
        <v>629</v>
      </c>
    </row>
    <row r="435" spans="2:7">
      <c r="B435">
        <v>630</v>
      </c>
      <c r="D435">
        <v>1E-3</v>
      </c>
      <c r="E435">
        <v>1</v>
      </c>
      <c r="F435">
        <v>0.26500000000000001</v>
      </c>
      <c r="G435">
        <f t="shared" si="6"/>
        <v>630</v>
      </c>
    </row>
    <row r="436" spans="2:7">
      <c r="B436">
        <v>631</v>
      </c>
      <c r="D436">
        <v>1E-3</v>
      </c>
      <c r="E436">
        <v>1</v>
      </c>
      <c r="F436">
        <v>0.25476434630331407</v>
      </c>
      <c r="G436">
        <f t="shared" si="6"/>
        <v>631</v>
      </c>
    </row>
    <row r="437" spans="2:7">
      <c r="B437">
        <v>632</v>
      </c>
      <c r="D437">
        <v>1E-3</v>
      </c>
      <c r="E437">
        <v>1</v>
      </c>
      <c r="F437">
        <v>0.24488173404268099</v>
      </c>
      <c r="G437">
        <f t="shared" si="6"/>
        <v>632</v>
      </c>
    </row>
    <row r="438" spans="2:7">
      <c r="B438">
        <v>633</v>
      </c>
      <c r="D438">
        <v>1E-3</v>
      </c>
      <c r="E438">
        <v>1</v>
      </c>
      <c r="F438">
        <v>0.23531694863039085</v>
      </c>
      <c r="G438">
        <f t="shared" si="6"/>
        <v>633</v>
      </c>
    </row>
    <row r="439" spans="2:7">
      <c r="B439">
        <v>634</v>
      </c>
      <c r="D439">
        <v>1E-3</v>
      </c>
      <c r="E439">
        <v>1</v>
      </c>
      <c r="F439">
        <v>0.22603477547873385</v>
      </c>
      <c r="G439">
        <f t="shared" si="6"/>
        <v>634</v>
      </c>
    </row>
    <row r="440" spans="2:7">
      <c r="B440">
        <v>635</v>
      </c>
      <c r="D440">
        <v>1E-3</v>
      </c>
      <c r="E440">
        <v>1</v>
      </c>
      <c r="F440">
        <v>0.217</v>
      </c>
      <c r="G440">
        <f t="shared" si="6"/>
        <v>635</v>
      </c>
    </row>
    <row r="441" spans="2:7">
      <c r="B441">
        <v>636</v>
      </c>
      <c r="D441">
        <v>1E-3</v>
      </c>
      <c r="E441">
        <v>1</v>
      </c>
      <c r="F441">
        <v>0.20818297098943681</v>
      </c>
      <c r="G441">
        <f t="shared" si="6"/>
        <v>636</v>
      </c>
    </row>
    <row r="442" spans="2:7">
      <c r="B442">
        <v>637</v>
      </c>
      <c r="D442">
        <v>1E-3</v>
      </c>
      <c r="E442">
        <v>1</v>
      </c>
      <c r="F442">
        <v>0.19957629077412101</v>
      </c>
      <c r="G442">
        <f t="shared" si="6"/>
        <v>637</v>
      </c>
    </row>
    <row r="443" spans="2:7">
      <c r="B443">
        <v>638</v>
      </c>
      <c r="D443">
        <v>1E-3</v>
      </c>
      <c r="E443">
        <v>1</v>
      </c>
      <c r="F443">
        <v>0.19117812506408688</v>
      </c>
      <c r="G443">
        <f t="shared" si="6"/>
        <v>638</v>
      </c>
    </row>
    <row r="444" spans="2:7">
      <c r="B444">
        <v>639</v>
      </c>
      <c r="D444">
        <v>1E-3</v>
      </c>
      <c r="E444">
        <v>1</v>
      </c>
      <c r="F444">
        <v>0.18298663956936845</v>
      </c>
      <c r="G444">
        <f t="shared" si="6"/>
        <v>639</v>
      </c>
    </row>
    <row r="445" spans="2:7">
      <c r="B445">
        <v>640</v>
      </c>
      <c r="D445">
        <v>1E-3</v>
      </c>
      <c r="E445">
        <v>1</v>
      </c>
      <c r="F445">
        <v>0.17499999999999999</v>
      </c>
      <c r="G445">
        <f t="shared" si="6"/>
        <v>640</v>
      </c>
    </row>
    <row r="446" spans="2:7">
      <c r="B446">
        <v>641</v>
      </c>
      <c r="D446">
        <v>1E-3</v>
      </c>
      <c r="E446">
        <v>1</v>
      </c>
      <c r="F446">
        <v>0.16721736973893878</v>
      </c>
      <c r="G446">
        <f t="shared" si="6"/>
        <v>641</v>
      </c>
    </row>
    <row r="447" spans="2:7">
      <c r="B447">
        <v>642</v>
      </c>
      <c r="D447">
        <v>1E-3</v>
      </c>
      <c r="E447">
        <v>1</v>
      </c>
      <c r="F447">
        <v>0.15964190286083488</v>
      </c>
      <c r="G447">
        <f t="shared" si="6"/>
        <v>642</v>
      </c>
    </row>
    <row r="448" spans="2:7">
      <c r="B448">
        <v>643</v>
      </c>
      <c r="D448">
        <v>1E-3</v>
      </c>
      <c r="E448">
        <v>1</v>
      </c>
      <c r="F448">
        <v>0.15227775111326164</v>
      </c>
      <c r="G448">
        <f t="shared" si="6"/>
        <v>643</v>
      </c>
    </row>
    <row r="449" spans="2:7">
      <c r="B449">
        <v>644</v>
      </c>
      <c r="D449">
        <v>1E-3</v>
      </c>
      <c r="E449">
        <v>1</v>
      </c>
      <c r="F449">
        <v>0.14512906624379224</v>
      </c>
      <c r="G449">
        <f t="shared" si="6"/>
        <v>644</v>
      </c>
    </row>
    <row r="450" spans="2:7">
      <c r="B450">
        <v>645</v>
      </c>
      <c r="D450">
        <v>1E-3</v>
      </c>
      <c r="E450">
        <v>1</v>
      </c>
      <c r="F450">
        <v>0.13819999999999999</v>
      </c>
      <c r="G450">
        <f t="shared" si="6"/>
        <v>645</v>
      </c>
    </row>
    <row r="451" spans="2:7">
      <c r="B451">
        <v>646</v>
      </c>
      <c r="D451">
        <v>1E-3</v>
      </c>
      <c r="E451">
        <v>1</v>
      </c>
      <c r="F451">
        <v>0.13149475005480807</v>
      </c>
      <c r="G451">
        <f t="shared" si="6"/>
        <v>646</v>
      </c>
    </row>
    <row r="452" spans="2:7">
      <c r="B452">
        <v>647</v>
      </c>
      <c r="D452">
        <v>1E-3</v>
      </c>
      <c r="E452">
        <v>1</v>
      </c>
      <c r="F452">
        <v>0.12501769778253932</v>
      </c>
      <c r="G452">
        <f t="shared" si="6"/>
        <v>647</v>
      </c>
    </row>
    <row r="453" spans="2:7">
      <c r="B453">
        <v>648</v>
      </c>
      <c r="D453">
        <v>1E-3</v>
      </c>
      <c r="E453">
        <v>1</v>
      </c>
      <c r="F453">
        <v>0.11877327048286652</v>
      </c>
      <c r="G453">
        <f t="shared" si="6"/>
        <v>648</v>
      </c>
    </row>
    <row r="454" spans="2:7">
      <c r="B454">
        <v>649</v>
      </c>
      <c r="D454">
        <v>1E-3</v>
      </c>
      <c r="E454">
        <v>1</v>
      </c>
      <c r="F454">
        <v>0.11276589545546251</v>
      </c>
      <c r="G454">
        <f t="shared" ref="G454:G517" si="7">B454</f>
        <v>649</v>
      </c>
    </row>
    <row r="455" spans="2:7">
      <c r="B455">
        <v>650</v>
      </c>
      <c r="D455">
        <v>1E-3</v>
      </c>
      <c r="E455">
        <v>1</v>
      </c>
      <c r="F455">
        <v>0.107</v>
      </c>
      <c r="G455">
        <f t="shared" si="7"/>
        <v>650</v>
      </c>
    </row>
    <row r="456" spans="2:7">
      <c r="B456">
        <v>651</v>
      </c>
      <c r="D456">
        <v>1E-3</v>
      </c>
      <c r="E456">
        <v>1</v>
      </c>
      <c r="F456">
        <v>0.10147723004182896</v>
      </c>
      <c r="G456">
        <f t="shared" si="7"/>
        <v>651</v>
      </c>
    </row>
    <row r="457" spans="2:7">
      <c r="B457">
        <v>652</v>
      </c>
      <c r="D457">
        <v>1E-3</v>
      </c>
      <c r="E457">
        <v>1</v>
      </c>
      <c r="F457">
        <v>9.6188106009007804E-2</v>
      </c>
      <c r="G457">
        <f t="shared" si="7"/>
        <v>652</v>
      </c>
    </row>
    <row r="458" spans="2:7">
      <c r="B458">
        <v>653</v>
      </c>
      <c r="D458">
        <v>1E-3</v>
      </c>
      <c r="E458">
        <v>1</v>
      </c>
      <c r="F458">
        <v>9.1120366955272203E-2</v>
      </c>
      <c r="G458">
        <f t="shared" si="7"/>
        <v>653</v>
      </c>
    </row>
    <row r="459" spans="2:7">
      <c r="B459">
        <v>654</v>
      </c>
      <c r="D459">
        <v>1E-3</v>
      </c>
      <c r="E459">
        <v>1</v>
      </c>
      <c r="F459">
        <v>8.6261751934357742E-2</v>
      </c>
      <c r="G459">
        <f t="shared" si="7"/>
        <v>654</v>
      </c>
    </row>
    <row r="460" spans="2:7">
      <c r="B460">
        <v>655</v>
      </c>
      <c r="D460">
        <v>1E-3</v>
      </c>
      <c r="E460">
        <v>1</v>
      </c>
      <c r="F460">
        <v>8.1600000000000006E-2</v>
      </c>
      <c r="G460">
        <f t="shared" si="7"/>
        <v>655</v>
      </c>
    </row>
    <row r="461" spans="2:7">
      <c r="B461">
        <v>656</v>
      </c>
      <c r="D461">
        <v>1E-3</v>
      </c>
      <c r="E461">
        <v>1</v>
      </c>
      <c r="F461">
        <v>7.7124329777876158E-2</v>
      </c>
      <c r="G461">
        <f t="shared" si="7"/>
        <v>656</v>
      </c>
    </row>
    <row r="462" spans="2:7">
      <c r="B462">
        <v>657</v>
      </c>
      <c r="D462">
        <v>1E-3</v>
      </c>
      <c r="E462">
        <v>1</v>
      </c>
      <c r="F462">
        <v>7.2829878181429455E-2</v>
      </c>
      <c r="G462">
        <f t="shared" si="7"/>
        <v>657</v>
      </c>
    </row>
    <row r="463" spans="2:7">
      <c r="B463">
        <v>658</v>
      </c>
      <c r="D463">
        <v>1E-3</v>
      </c>
      <c r="E463">
        <v>1</v>
      </c>
      <c r="F463">
        <v>6.8713261696044664E-2</v>
      </c>
      <c r="G463">
        <f t="shared" si="7"/>
        <v>658</v>
      </c>
    </row>
    <row r="464" spans="2:7">
      <c r="B464">
        <v>659</v>
      </c>
      <c r="D464">
        <v>1E-3</v>
      </c>
      <c r="E464">
        <v>1</v>
      </c>
      <c r="F464">
        <v>6.4771096807106604E-2</v>
      </c>
      <c r="G464">
        <f t="shared" si="7"/>
        <v>659</v>
      </c>
    </row>
    <row r="465" spans="2:7">
      <c r="B465">
        <v>660</v>
      </c>
      <c r="D465">
        <v>1E-3</v>
      </c>
      <c r="E465">
        <v>1</v>
      </c>
      <c r="F465">
        <v>6.0999999999999999E-2</v>
      </c>
      <c r="G465">
        <f t="shared" si="7"/>
        <v>660</v>
      </c>
    </row>
    <row r="466" spans="2:7">
      <c r="B466">
        <v>661</v>
      </c>
      <c r="D466">
        <v>1E-3</v>
      </c>
      <c r="E466">
        <v>1</v>
      </c>
      <c r="F466">
        <v>5.7396490846666433E-2</v>
      </c>
      <c r="G466">
        <f t="shared" si="7"/>
        <v>661</v>
      </c>
    </row>
    <row r="467" spans="2:7">
      <c r="B467">
        <v>662</v>
      </c>
      <c r="D467">
        <v>1E-3</v>
      </c>
      <c r="E467">
        <v>1</v>
      </c>
      <c r="F467">
        <v>5.3956701265274389E-2</v>
      </c>
      <c r="G467">
        <f t="shared" si="7"/>
        <v>662</v>
      </c>
    </row>
    <row r="468" spans="2:7">
      <c r="B468">
        <v>663</v>
      </c>
      <c r="D468">
        <v>1E-3</v>
      </c>
      <c r="E468">
        <v>1</v>
      </c>
      <c r="F468">
        <v>5.0676666260549133E-2</v>
      </c>
      <c r="G468">
        <f t="shared" si="7"/>
        <v>663</v>
      </c>
    </row>
    <row r="469" spans="2:7">
      <c r="B469">
        <v>664</v>
      </c>
      <c r="D469">
        <v>1E-3</v>
      </c>
      <c r="E469">
        <v>1</v>
      </c>
      <c r="F469">
        <v>4.755242083721592E-2</v>
      </c>
      <c r="G469">
        <f t="shared" si="7"/>
        <v>664</v>
      </c>
    </row>
    <row r="470" spans="2:7">
      <c r="B470">
        <v>665</v>
      </c>
      <c r="D470">
        <v>1E-3</v>
      </c>
      <c r="E470">
        <v>1</v>
      </c>
      <c r="F470">
        <v>4.4580000000000002E-2</v>
      </c>
      <c r="G470">
        <f t="shared" si="7"/>
        <v>665</v>
      </c>
    </row>
    <row r="471" spans="2:7">
      <c r="B471">
        <v>666</v>
      </c>
      <c r="D471">
        <v>1E-3</v>
      </c>
      <c r="E471">
        <v>1</v>
      </c>
      <c r="F471">
        <v>4.1756586835458125E-2</v>
      </c>
      <c r="G471">
        <f t="shared" si="7"/>
        <v>666</v>
      </c>
    </row>
    <row r="472" spans="2:7">
      <c r="B472">
        <v>667</v>
      </c>
      <c r="D472">
        <v>1E-3</v>
      </c>
      <c r="E472">
        <v>1</v>
      </c>
      <c r="F472">
        <v>3.908395675747299E-2</v>
      </c>
      <c r="G472">
        <f t="shared" si="7"/>
        <v>667</v>
      </c>
    </row>
    <row r="473" spans="2:7">
      <c r="B473">
        <v>668</v>
      </c>
      <c r="D473">
        <v>1E-3</v>
      </c>
      <c r="E473">
        <v>1</v>
      </c>
      <c r="F473">
        <v>3.6565033261758792E-2</v>
      </c>
      <c r="G473">
        <f t="shared" si="7"/>
        <v>668</v>
      </c>
    </row>
    <row r="474" spans="2:7">
      <c r="B474">
        <v>669</v>
      </c>
      <c r="D474">
        <v>1E-3</v>
      </c>
      <c r="E474">
        <v>1</v>
      </c>
      <c r="F474">
        <v>3.4202739844029738E-2</v>
      </c>
      <c r="G474">
        <f t="shared" si="7"/>
        <v>669</v>
      </c>
    </row>
    <row r="475" spans="2:7">
      <c r="B475">
        <v>670</v>
      </c>
      <c r="D475">
        <v>1E-3</v>
      </c>
      <c r="E475">
        <v>1</v>
      </c>
      <c r="F475">
        <v>3.2000000000000001E-2</v>
      </c>
      <c r="G475">
        <f t="shared" si="7"/>
        <v>670</v>
      </c>
    </row>
    <row r="476" spans="2:7">
      <c r="B476">
        <v>671</v>
      </c>
      <c r="D476">
        <v>1E-3</v>
      </c>
      <c r="E476">
        <v>1</v>
      </c>
      <c r="F476">
        <v>2.9957481811501086E-2</v>
      </c>
      <c r="G476">
        <f t="shared" si="7"/>
        <v>671</v>
      </c>
    </row>
    <row r="477" spans="2:7">
      <c r="B477">
        <v>672</v>
      </c>
      <c r="D477">
        <v>1E-3</v>
      </c>
      <c r="E477">
        <v>1</v>
      </c>
      <c r="F477">
        <v>2.806683170483365E-2</v>
      </c>
      <c r="G477">
        <f t="shared" si="7"/>
        <v>672</v>
      </c>
    </row>
    <row r="478" spans="2:7">
      <c r="B478">
        <v>673</v>
      </c>
      <c r="D478">
        <v>1E-3</v>
      </c>
      <c r="E478">
        <v>1</v>
      </c>
      <c r="F478">
        <v>2.6317440692415685E-2</v>
      </c>
      <c r="G478">
        <f t="shared" si="7"/>
        <v>673</v>
      </c>
    </row>
    <row r="479" spans="2:7">
      <c r="B479">
        <v>674</v>
      </c>
      <c r="D479">
        <v>1E-3</v>
      </c>
      <c r="E479">
        <v>1</v>
      </c>
      <c r="F479">
        <v>2.469869978666514E-2</v>
      </c>
      <c r="G479">
        <f t="shared" si="7"/>
        <v>674</v>
      </c>
    </row>
    <row r="480" spans="2:7">
      <c r="B480">
        <v>675</v>
      </c>
      <c r="D480">
        <v>1E-3</v>
      </c>
      <c r="E480">
        <v>1</v>
      </c>
      <c r="F480">
        <v>2.3199999999999998E-2</v>
      </c>
      <c r="G480">
        <f t="shared" si="7"/>
        <v>675</v>
      </c>
    </row>
    <row r="481" spans="2:7">
      <c r="B481">
        <v>676</v>
      </c>
      <c r="D481">
        <v>1E-3</v>
      </c>
      <c r="E481">
        <v>1</v>
      </c>
      <c r="F481">
        <v>2.1809645918537551E-2</v>
      </c>
      <c r="G481">
        <f t="shared" si="7"/>
        <v>676</v>
      </c>
    </row>
    <row r="482" spans="2:7">
      <c r="B482">
        <v>677</v>
      </c>
      <c r="D482">
        <v>1E-3</v>
      </c>
      <c r="E482">
        <v>1</v>
      </c>
      <c r="F482">
        <v>2.0511596423192398E-2</v>
      </c>
      <c r="G482">
        <f t="shared" si="7"/>
        <v>677</v>
      </c>
    </row>
    <row r="483" spans="2:7">
      <c r="B483">
        <v>678</v>
      </c>
      <c r="D483">
        <v>1E-3</v>
      </c>
      <c r="E483">
        <v>1</v>
      </c>
      <c r="F483">
        <v>1.9288723968578472E-2</v>
      </c>
      <c r="G483">
        <f t="shared" si="7"/>
        <v>678</v>
      </c>
    </row>
    <row r="484" spans="2:7">
      <c r="B484">
        <v>679</v>
      </c>
      <c r="D484">
        <v>1E-3</v>
      </c>
      <c r="E484">
        <v>1</v>
      </c>
      <c r="F484">
        <v>1.8123901009309693E-2</v>
      </c>
      <c r="G484">
        <f t="shared" si="7"/>
        <v>679</v>
      </c>
    </row>
    <row r="485" spans="2:7">
      <c r="B485">
        <v>680</v>
      </c>
      <c r="D485">
        <v>1E-3</v>
      </c>
      <c r="E485">
        <v>1</v>
      </c>
      <c r="F485">
        <v>1.7000000000000001E-2</v>
      </c>
      <c r="G485">
        <f t="shared" si="7"/>
        <v>680</v>
      </c>
    </row>
    <row r="486" spans="2:7">
      <c r="B486">
        <v>681</v>
      </c>
      <c r="D486">
        <v>1E-3</v>
      </c>
      <c r="E486">
        <v>1</v>
      </c>
      <c r="F486">
        <v>1.5904094514348717E-2</v>
      </c>
      <c r="G486">
        <f t="shared" si="7"/>
        <v>681</v>
      </c>
    </row>
    <row r="487" spans="2:7">
      <c r="B487">
        <v>682</v>
      </c>
      <c r="D487">
        <v>1E-3</v>
      </c>
      <c r="E487">
        <v>1</v>
      </c>
      <c r="F487">
        <v>1.4840062602396755E-2</v>
      </c>
      <c r="G487">
        <f t="shared" si="7"/>
        <v>682</v>
      </c>
    </row>
    <row r="488" spans="2:7">
      <c r="B488">
        <v>683</v>
      </c>
      <c r="D488">
        <v>1E-3</v>
      </c>
      <c r="E488">
        <v>1</v>
      </c>
      <c r="F488">
        <v>1.3815983433270436E-2</v>
      </c>
      <c r="G488">
        <f t="shared" si="7"/>
        <v>683</v>
      </c>
    </row>
    <row r="489" spans="2:7">
      <c r="B489">
        <v>684</v>
      </c>
      <c r="D489">
        <v>1E-3</v>
      </c>
      <c r="E489">
        <v>1</v>
      </c>
      <c r="F489">
        <v>1.2839936176096082E-2</v>
      </c>
      <c r="G489">
        <f t="shared" si="7"/>
        <v>684</v>
      </c>
    </row>
    <row r="490" spans="2:7">
      <c r="B490">
        <v>685</v>
      </c>
      <c r="D490">
        <v>1E-3</v>
      </c>
      <c r="E490">
        <v>1</v>
      </c>
      <c r="F490">
        <v>1.192E-2</v>
      </c>
      <c r="G490">
        <f t="shared" si="7"/>
        <v>685</v>
      </c>
    </row>
    <row r="491" spans="2:7">
      <c r="B491">
        <v>686</v>
      </c>
      <c r="D491">
        <v>1E-3</v>
      </c>
      <c r="E491">
        <v>1</v>
      </c>
      <c r="F491">
        <v>1.1062376024067596E-2</v>
      </c>
      <c r="G491">
        <f t="shared" si="7"/>
        <v>686</v>
      </c>
    </row>
    <row r="492" spans="2:7">
      <c r="B492">
        <v>687</v>
      </c>
      <c r="D492">
        <v>1E-3</v>
      </c>
      <c r="E492">
        <v>1</v>
      </c>
      <c r="F492">
        <v>1.0265753167220589E-2</v>
      </c>
      <c r="G492">
        <f t="shared" si="7"/>
        <v>687</v>
      </c>
    </row>
    <row r="493" spans="2:7">
      <c r="B493">
        <v>688</v>
      </c>
      <c r="D493">
        <v>1E-3</v>
      </c>
      <c r="E493">
        <v>1</v>
      </c>
      <c r="F493">
        <v>9.5269422983397852E-3</v>
      </c>
      <c r="G493">
        <f t="shared" si="7"/>
        <v>688</v>
      </c>
    </row>
    <row r="494" spans="2:7">
      <c r="B494">
        <v>689</v>
      </c>
      <c r="D494">
        <v>1E-3</v>
      </c>
      <c r="E494">
        <v>1</v>
      </c>
      <c r="F494">
        <v>8.8427542863059871E-3</v>
      </c>
      <c r="G494">
        <f t="shared" si="7"/>
        <v>689</v>
      </c>
    </row>
    <row r="495" spans="2:7">
      <c r="B495">
        <v>690</v>
      </c>
      <c r="D495">
        <v>1E-3</v>
      </c>
      <c r="E495">
        <v>1</v>
      </c>
      <c r="F495">
        <v>8.2100000000000003E-3</v>
      </c>
      <c r="G495">
        <f t="shared" si="7"/>
        <v>690</v>
      </c>
    </row>
    <row r="496" spans="2:7">
      <c r="B496">
        <v>691</v>
      </c>
      <c r="D496">
        <v>1E-3</v>
      </c>
      <c r="E496">
        <v>1</v>
      </c>
      <c r="F496">
        <v>7.6256253893809073E-3</v>
      </c>
      <c r="G496">
        <f t="shared" si="7"/>
        <v>691</v>
      </c>
    </row>
    <row r="497" spans="2:7">
      <c r="B497">
        <v>692</v>
      </c>
      <c r="D497">
        <v>1E-3</v>
      </c>
      <c r="E497">
        <v>1</v>
      </c>
      <c r="F497">
        <v>7.0871167287208945E-3</v>
      </c>
      <c r="G497">
        <f t="shared" si="7"/>
        <v>692</v>
      </c>
    </row>
    <row r="498" spans="2:7">
      <c r="B498">
        <v>693</v>
      </c>
      <c r="D498">
        <v>1E-3</v>
      </c>
      <c r="E498">
        <v>1</v>
      </c>
      <c r="F498">
        <v>6.5920953733704293E-3</v>
      </c>
      <c r="G498">
        <f t="shared" si="7"/>
        <v>693</v>
      </c>
    </row>
    <row r="499" spans="2:7">
      <c r="B499">
        <v>694</v>
      </c>
      <c r="D499">
        <v>1E-3</v>
      </c>
      <c r="E499">
        <v>1</v>
      </c>
      <c r="F499">
        <v>6.1381826786799758E-3</v>
      </c>
      <c r="G499">
        <f t="shared" si="7"/>
        <v>694</v>
      </c>
    </row>
    <row r="500" spans="2:7">
      <c r="B500">
        <v>695</v>
      </c>
      <c r="D500">
        <v>1E-3</v>
      </c>
      <c r="E500">
        <v>1</v>
      </c>
      <c r="F500">
        <v>5.7229999999999998E-3</v>
      </c>
      <c r="G500">
        <f t="shared" si="7"/>
        <v>695</v>
      </c>
    </row>
    <row r="501" spans="2:7">
      <c r="B501">
        <v>696</v>
      </c>
      <c r="D501">
        <v>1E-3</v>
      </c>
      <c r="E501">
        <v>1</v>
      </c>
      <c r="F501">
        <v>5.3438264184087784E-3</v>
      </c>
      <c r="G501">
        <f t="shared" si="7"/>
        <v>696</v>
      </c>
    </row>
    <row r="502" spans="2:7">
      <c r="B502">
        <v>697</v>
      </c>
      <c r="D502">
        <v>1E-3</v>
      </c>
      <c r="E502">
        <v>1</v>
      </c>
      <c r="F502">
        <v>4.9965719178958349E-3</v>
      </c>
      <c r="G502">
        <f t="shared" si="7"/>
        <v>697</v>
      </c>
    </row>
    <row r="503" spans="2:7">
      <c r="B503">
        <v>698</v>
      </c>
      <c r="D503">
        <v>1E-3</v>
      </c>
      <c r="E503">
        <v>1</v>
      </c>
      <c r="F503">
        <v>4.676804208178501E-3</v>
      </c>
      <c r="G503">
        <f t="shared" si="7"/>
        <v>698</v>
      </c>
    </row>
    <row r="504" spans="2:7">
      <c r="B504">
        <v>699</v>
      </c>
      <c r="D504">
        <v>1E-3</v>
      </c>
      <c r="E504">
        <v>1</v>
      </c>
      <c r="F504">
        <v>4.3800909989741114E-3</v>
      </c>
      <c r="G504">
        <f t="shared" si="7"/>
        <v>699</v>
      </c>
    </row>
    <row r="505" spans="2:7">
      <c r="B505">
        <v>700</v>
      </c>
      <c r="D505">
        <v>1E-3</v>
      </c>
      <c r="E505">
        <v>1</v>
      </c>
      <c r="F505">
        <v>4.1019999999999997E-3</v>
      </c>
      <c r="G505">
        <f t="shared" si="7"/>
        <v>700</v>
      </c>
    </row>
    <row r="506" spans="2:7">
      <c r="B506">
        <v>701</v>
      </c>
      <c r="E506">
        <v>0.99535708599999995</v>
      </c>
      <c r="F506">
        <v>3.8388449369839771E-3</v>
      </c>
      <c r="G506">
        <f t="shared" si="7"/>
        <v>701</v>
      </c>
    </row>
    <row r="507" spans="2:7">
      <c r="B507">
        <v>702</v>
      </c>
      <c r="E507">
        <v>0.99073572899999995</v>
      </c>
      <c r="F507">
        <v>3.5899235996957658E-3</v>
      </c>
      <c r="G507">
        <f t="shared" si="7"/>
        <v>702</v>
      </c>
    </row>
    <row r="508" spans="2:7">
      <c r="B508">
        <v>703</v>
      </c>
      <c r="E508">
        <v>0.98613582899999996</v>
      </c>
      <c r="F508">
        <v>3.3552797939155657E-3</v>
      </c>
      <c r="G508">
        <f t="shared" si="7"/>
        <v>703</v>
      </c>
    </row>
    <row r="509" spans="2:7">
      <c r="B509">
        <v>704</v>
      </c>
      <c r="E509">
        <v>0.98155728600000003</v>
      </c>
      <c r="F509">
        <v>3.1349573254235773E-3</v>
      </c>
      <c r="G509">
        <f t="shared" si="7"/>
        <v>704</v>
      </c>
    </row>
    <row r="510" spans="2:7">
      <c r="B510">
        <v>705</v>
      </c>
      <c r="E510">
        <v>0.97699999999999998</v>
      </c>
      <c r="F510">
        <v>2.9290000000000002E-3</v>
      </c>
      <c r="G510">
        <f t="shared" si="7"/>
        <v>705</v>
      </c>
    </row>
    <row r="511" spans="2:7">
      <c r="B511">
        <v>706</v>
      </c>
      <c r="E511">
        <v>0.97255982399999996</v>
      </c>
      <c r="F511">
        <v>2.7372498336553125E-3</v>
      </c>
      <c r="G511">
        <f t="shared" si="7"/>
        <v>706</v>
      </c>
    </row>
    <row r="512" spans="2:7">
      <c r="B512">
        <v>707</v>
      </c>
      <c r="E512">
        <v>0.96813982799999998</v>
      </c>
      <c r="F512">
        <v>2.5587416833211022E-3</v>
      </c>
      <c r="G512">
        <f t="shared" si="7"/>
        <v>707</v>
      </c>
    </row>
    <row r="513" spans="2:7">
      <c r="B513">
        <v>708</v>
      </c>
      <c r="E513">
        <v>0.963739919</v>
      </c>
      <c r="F513">
        <v>2.3923086161592357E-3</v>
      </c>
      <c r="G513">
        <f t="shared" si="7"/>
        <v>708</v>
      </c>
    </row>
    <row r="514" spans="2:7">
      <c r="B514">
        <v>709</v>
      </c>
      <c r="E514">
        <v>0.95936000700000001</v>
      </c>
      <c r="F514">
        <v>2.2367836993315801E-3</v>
      </c>
      <c r="G514">
        <f t="shared" si="7"/>
        <v>709</v>
      </c>
    </row>
    <row r="515" spans="2:7">
      <c r="B515">
        <v>710</v>
      </c>
      <c r="E515">
        <v>0.95499999999999996</v>
      </c>
      <c r="F515">
        <v>2.091E-3</v>
      </c>
      <c r="G515">
        <f t="shared" si="7"/>
        <v>710</v>
      </c>
    </row>
    <row r="516" spans="2:7">
      <c r="B516">
        <v>711</v>
      </c>
      <c r="E516">
        <v>0.95055888600000005</v>
      </c>
      <c r="F516">
        <v>1.9539237283947744E-3</v>
      </c>
      <c r="G516">
        <f t="shared" si="7"/>
        <v>711</v>
      </c>
    </row>
    <row r="517" spans="2:7">
      <c r="B517">
        <v>712</v>
      </c>
      <c r="E517">
        <v>0.94613842500000001</v>
      </c>
      <c r="F517">
        <v>1.8250536670198266E-3</v>
      </c>
      <c r="G517">
        <f t="shared" si="7"/>
        <v>712</v>
      </c>
    </row>
    <row r="518" spans="2:7">
      <c r="B518">
        <v>713</v>
      </c>
      <c r="E518">
        <v>0.94173852000000002</v>
      </c>
      <c r="F518">
        <v>1.7040217414474915E-3</v>
      </c>
      <c r="G518">
        <f t="shared" ref="G518:G581" si="8">B518</f>
        <v>713</v>
      </c>
    </row>
    <row r="519" spans="2:7">
      <c r="B519">
        <v>714</v>
      </c>
      <c r="E519">
        <v>0.93735907699999998</v>
      </c>
      <c r="F519">
        <v>1.5904598772501044E-3</v>
      </c>
      <c r="G519">
        <f t="shared" si="8"/>
        <v>714</v>
      </c>
    </row>
    <row r="520" spans="2:7">
      <c r="B520">
        <v>715</v>
      </c>
      <c r="E520">
        <v>0.93300000000000005</v>
      </c>
      <c r="F520">
        <v>1.4840000000000001E-3</v>
      </c>
      <c r="G520">
        <f t="shared" si="8"/>
        <v>715</v>
      </c>
    </row>
    <row r="521" spans="2:7">
      <c r="B521">
        <v>716</v>
      </c>
      <c r="E521">
        <v>0.92876166800000004</v>
      </c>
      <c r="F521">
        <v>1.3842872527655907E-3</v>
      </c>
      <c r="G521">
        <f t="shared" si="8"/>
        <v>716</v>
      </c>
    </row>
    <row r="522" spans="2:7">
      <c r="B522">
        <v>717</v>
      </c>
      <c r="E522">
        <v>0.92454258899999997</v>
      </c>
      <c r="F522">
        <v>1.2910196485995922E-3</v>
      </c>
      <c r="G522">
        <f t="shared" si="8"/>
        <v>717</v>
      </c>
    </row>
    <row r="523" spans="2:7">
      <c r="B523">
        <v>718</v>
      </c>
      <c r="E523">
        <v>0.92034267599999997</v>
      </c>
      <c r="F523">
        <v>1.2039084180507989E-3</v>
      </c>
      <c r="G523">
        <f t="shared" si="8"/>
        <v>718</v>
      </c>
    </row>
    <row r="524" spans="2:7">
      <c r="B524">
        <v>719</v>
      </c>
      <c r="E524">
        <v>0.91616184199999995</v>
      </c>
      <c r="F524">
        <v>1.1226647916680037E-3</v>
      </c>
      <c r="G524">
        <f t="shared" si="8"/>
        <v>719</v>
      </c>
    </row>
    <row r="525" spans="2:7">
      <c r="B525">
        <v>720</v>
      </c>
      <c r="E525">
        <v>0.91200000000000003</v>
      </c>
      <c r="F525">
        <v>1.047E-3</v>
      </c>
      <c r="G525">
        <f t="shared" si="8"/>
        <v>720</v>
      </c>
    </row>
    <row r="526" spans="2:7">
      <c r="B526">
        <v>721</v>
      </c>
      <c r="E526">
        <v>0.90776077300000002</v>
      </c>
      <c r="F526">
        <v>9.7660726054286441E-4</v>
      </c>
      <c r="G526">
        <f t="shared" si="8"/>
        <v>721</v>
      </c>
    </row>
    <row r="527" spans="2:7">
      <c r="B527">
        <v>722</v>
      </c>
      <c r="E527">
        <v>0.90354124999999996</v>
      </c>
      <c r="F527">
        <v>9.1110773858180474E-4</v>
      </c>
      <c r="G527">
        <f t="shared" si="8"/>
        <v>722</v>
      </c>
    </row>
    <row r="528" spans="2:7">
      <c r="B528">
        <v>723</v>
      </c>
      <c r="E528">
        <v>0.89934134099999996</v>
      </c>
      <c r="F528">
        <v>8.5010458634931314E-4</v>
      </c>
      <c r="G528">
        <f t="shared" si="8"/>
        <v>723</v>
      </c>
    </row>
    <row r="529" spans="2:7">
      <c r="B529">
        <v>724</v>
      </c>
      <c r="E529">
        <v>0.89516095500000004</v>
      </c>
      <c r="F529">
        <v>7.9320095607788123E-4</v>
      </c>
      <c r="G529">
        <f t="shared" si="8"/>
        <v>724</v>
      </c>
    </row>
    <row r="530" spans="2:7">
      <c r="B530">
        <v>725</v>
      </c>
      <c r="E530">
        <v>0.89100000000000001</v>
      </c>
      <c r="F530">
        <v>7.3999999999999999E-4</v>
      </c>
      <c r="G530">
        <f t="shared" si="8"/>
        <v>725</v>
      </c>
    </row>
    <row r="531" spans="2:7">
      <c r="B531">
        <v>726</v>
      </c>
      <c r="E531">
        <v>0.88696359400000002</v>
      </c>
      <c r="F531">
        <v>6.9013970506295289E-4</v>
      </c>
      <c r="G531">
        <f t="shared" si="8"/>
        <v>726</v>
      </c>
    </row>
    <row r="532" spans="2:7">
      <c r="B532">
        <v>727</v>
      </c>
      <c r="E532">
        <v>0.88294547300000004</v>
      </c>
      <c r="F532">
        <v>6.4339739707318854E-4</v>
      </c>
      <c r="G532">
        <f t="shared" si="8"/>
        <v>727</v>
      </c>
    </row>
    <row r="533" spans="2:7">
      <c r="B533">
        <v>728</v>
      </c>
      <c r="E533">
        <v>0.87894555600000002</v>
      </c>
      <c r="F533">
        <v>5.9958523655194809E-4</v>
      </c>
      <c r="G533">
        <f t="shared" si="8"/>
        <v>728</v>
      </c>
    </row>
    <row r="534" spans="2:7">
      <c r="B534">
        <v>729</v>
      </c>
      <c r="E534">
        <v>0.87496375900000001</v>
      </c>
      <c r="F534">
        <v>5.5851538402047177E-4</v>
      </c>
      <c r="G534">
        <f t="shared" si="8"/>
        <v>729</v>
      </c>
    </row>
    <row r="535" spans="2:7">
      <c r="B535">
        <v>730</v>
      </c>
      <c r="E535">
        <v>0.871</v>
      </c>
      <c r="F535">
        <v>5.1999999999999995E-4</v>
      </c>
      <c r="G535">
        <f t="shared" si="8"/>
        <v>730</v>
      </c>
    </row>
    <row r="536" spans="2:7">
      <c r="B536">
        <v>731</v>
      </c>
      <c r="E536">
        <v>0.86696274600000001</v>
      </c>
      <c r="F536">
        <v>4.8386671920532448E-4</v>
      </c>
      <c r="G536">
        <f t="shared" si="8"/>
        <v>731</v>
      </c>
    </row>
    <row r="537" spans="2:7">
      <c r="B537">
        <v>732</v>
      </c>
      <c r="E537">
        <v>0.86294420599999999</v>
      </c>
      <c r="F537">
        <v>4.5000507312544045E-4</v>
      </c>
      <c r="G537">
        <f t="shared" si="8"/>
        <v>732</v>
      </c>
    </row>
    <row r="538" spans="2:7">
      <c r="B538">
        <v>733</v>
      </c>
      <c r="E538">
        <v>0.858944292</v>
      </c>
      <c r="F538">
        <v>4.1832006744289428E-4</v>
      </c>
      <c r="G538">
        <f t="shared" si="8"/>
        <v>733</v>
      </c>
    </row>
    <row r="539" spans="2:7">
      <c r="B539">
        <v>734</v>
      </c>
      <c r="E539">
        <v>0.85496291899999999</v>
      </c>
      <c r="F539">
        <v>3.8871670784023201E-4</v>
      </c>
      <c r="G539">
        <f t="shared" si="8"/>
        <v>734</v>
      </c>
    </row>
    <row r="540" spans="2:7">
      <c r="B540">
        <v>735</v>
      </c>
      <c r="E540">
        <v>0.85099999999999998</v>
      </c>
      <c r="F540">
        <v>3.611E-4</v>
      </c>
      <c r="G540">
        <f t="shared" si="8"/>
        <v>735</v>
      </c>
    </row>
    <row r="541" spans="2:7">
      <c r="B541">
        <v>736</v>
      </c>
      <c r="E541">
        <v>0.84716560200000002</v>
      </c>
      <c r="F541">
        <v>3.3537261811574914E-4</v>
      </c>
      <c r="G541">
        <f t="shared" si="8"/>
        <v>736</v>
      </c>
    </row>
    <row r="542" spans="2:7">
      <c r="B542">
        <v>737</v>
      </c>
      <c r="E542">
        <v>0.84334847999999996</v>
      </c>
      <c r="F542">
        <v>3.1142791042504923E-4</v>
      </c>
      <c r="G542">
        <f t="shared" si="8"/>
        <v>737</v>
      </c>
    </row>
    <row r="543" spans="2:7">
      <c r="B543">
        <v>738</v>
      </c>
      <c r="E543">
        <v>0.83954855799999994</v>
      </c>
      <c r="F543">
        <v>2.8915689367647472E-4</v>
      </c>
      <c r="G543">
        <f t="shared" si="8"/>
        <v>738</v>
      </c>
    </row>
    <row r="544" spans="2:7">
      <c r="B544">
        <v>739</v>
      </c>
      <c r="E544">
        <v>0.835765757</v>
      </c>
      <c r="F544">
        <v>2.6845058461860016E-4</v>
      </c>
      <c r="G544">
        <f t="shared" si="8"/>
        <v>739</v>
      </c>
    </row>
    <row r="545" spans="2:7">
      <c r="B545">
        <v>740</v>
      </c>
      <c r="E545">
        <v>0.83199999999999996</v>
      </c>
      <c r="F545">
        <v>2.4919999999999999E-4</v>
      </c>
      <c r="G545">
        <f t="shared" si="8"/>
        <v>740</v>
      </c>
    </row>
    <row r="546" spans="2:7">
      <c r="B546">
        <v>741</v>
      </c>
      <c r="E546">
        <v>0.828164805</v>
      </c>
      <c r="F546">
        <v>2.3130360833167898E-4</v>
      </c>
      <c r="G546">
        <f t="shared" si="8"/>
        <v>741</v>
      </c>
    </row>
    <row r="547" spans="2:7">
      <c r="B547">
        <v>742</v>
      </c>
      <c r="E547">
        <v>0.82434728899999998</v>
      </c>
      <c r="F547">
        <v>2.146896851743627E-4</v>
      </c>
      <c r="G547">
        <f t="shared" si="8"/>
        <v>742</v>
      </c>
    </row>
    <row r="548" spans="2:7">
      <c r="B548">
        <v>743</v>
      </c>
      <c r="E548">
        <v>0.82054737</v>
      </c>
      <c r="F548">
        <v>1.992939578512069E-4</v>
      </c>
      <c r="G548">
        <f t="shared" si="8"/>
        <v>743</v>
      </c>
    </row>
    <row r="549" spans="2:7">
      <c r="B549">
        <v>744</v>
      </c>
      <c r="E549">
        <v>0.81676496700000001</v>
      </c>
      <c r="F549">
        <v>1.8505215368536741E-4</v>
      </c>
      <c r="G549">
        <f t="shared" si="8"/>
        <v>744</v>
      </c>
    </row>
    <row r="550" spans="2:7">
      <c r="B550">
        <v>745</v>
      </c>
      <c r="E550">
        <v>0.81299999999999994</v>
      </c>
      <c r="F550">
        <v>1.719E-4</v>
      </c>
      <c r="G550">
        <f t="shared" si="8"/>
        <v>745</v>
      </c>
    </row>
    <row r="551" spans="2:7">
      <c r="B551">
        <v>746</v>
      </c>
      <c r="E551">
        <v>0.80916397100000004</v>
      </c>
      <c r="F551">
        <v>1.597713485575349E-4</v>
      </c>
      <c r="G551">
        <f t="shared" si="8"/>
        <v>746</v>
      </c>
    </row>
    <row r="552" spans="2:7">
      <c r="B552">
        <v>747</v>
      </c>
      <c r="E552">
        <v>0.80534604099999996</v>
      </c>
      <c r="F552">
        <v>1.4859254887750003E-4</v>
      </c>
      <c r="G552">
        <f t="shared" si="8"/>
        <v>747</v>
      </c>
    </row>
    <row r="553" spans="2:7">
      <c r="B553">
        <v>748</v>
      </c>
      <c r="E553">
        <v>0.80154612599999997</v>
      </c>
      <c r="F553">
        <v>1.3828807491869766E-4</v>
      </c>
      <c r="G553">
        <f t="shared" si="8"/>
        <v>748</v>
      </c>
    </row>
    <row r="554" spans="2:7">
      <c r="B554">
        <v>749</v>
      </c>
      <c r="E554">
        <v>0.79776414100000004</v>
      </c>
      <c r="F554">
        <v>1.2878240063993022E-4</v>
      </c>
      <c r="G554">
        <f t="shared" si="8"/>
        <v>749</v>
      </c>
    </row>
    <row r="555" spans="2:7">
      <c r="B555">
        <v>750</v>
      </c>
      <c r="E555">
        <v>0.79400000000000004</v>
      </c>
      <c r="F555">
        <v>1.2E-4</v>
      </c>
      <c r="G555">
        <f t="shared" si="8"/>
        <v>750</v>
      </c>
    </row>
    <row r="556" spans="2:7">
      <c r="B556">
        <v>751</v>
      </c>
      <c r="E556">
        <v>0.79036690399999998</v>
      </c>
      <c r="F556">
        <v>1.1186939743818145E-4</v>
      </c>
      <c r="G556">
        <f t="shared" si="8"/>
        <v>751</v>
      </c>
    </row>
    <row r="557" spans="2:7">
      <c r="B557">
        <v>752</v>
      </c>
      <c r="E557">
        <v>0.78675043200000006</v>
      </c>
      <c r="F557">
        <v>1.0433531931563732E-4</v>
      </c>
      <c r="G557">
        <f t="shared" si="8"/>
        <v>752</v>
      </c>
    </row>
    <row r="558" spans="2:7">
      <c r="B558">
        <v>753</v>
      </c>
      <c r="E558">
        <v>0.78315050799999997</v>
      </c>
      <c r="F558">
        <v>9.7346542474002485E-5</v>
      </c>
      <c r="G558">
        <f t="shared" si="8"/>
        <v>753</v>
      </c>
    </row>
    <row r="559" spans="2:7">
      <c r="B559">
        <v>754</v>
      </c>
      <c r="E559">
        <v>0.77956705500000001</v>
      </c>
      <c r="F559">
        <v>9.0851843754911752E-5</v>
      </c>
      <c r="G559">
        <f t="shared" si="8"/>
        <v>754</v>
      </c>
    </row>
    <row r="560" spans="2:7">
      <c r="B560">
        <v>755</v>
      </c>
      <c r="E560">
        <v>0.77600000000000002</v>
      </c>
      <c r="F560">
        <v>8.4800000000000001E-5</v>
      </c>
      <c r="G560">
        <f t="shared" si="8"/>
        <v>755</v>
      </c>
    </row>
    <row r="561" spans="2:7">
      <c r="B561">
        <v>756</v>
      </c>
      <c r="E561">
        <v>0.77256980799999997</v>
      </c>
      <c r="F561">
        <v>7.9144661689739296E-5</v>
      </c>
      <c r="G561">
        <f t="shared" si="8"/>
        <v>756</v>
      </c>
    </row>
    <row r="562" spans="2:7">
      <c r="B562">
        <v>757</v>
      </c>
      <c r="E562">
        <v>0.76915478000000004</v>
      </c>
      <c r="F562">
        <v>7.3858973859950699E-5</v>
      </c>
      <c r="G562">
        <f t="shared" si="8"/>
        <v>757</v>
      </c>
    </row>
    <row r="563" spans="2:7">
      <c r="B563">
        <v>758</v>
      </c>
      <c r="E563">
        <v>0.76575484599999999</v>
      </c>
      <c r="F563">
        <v>6.8920955185292445E-5</v>
      </c>
      <c r="G563">
        <f t="shared" si="8"/>
        <v>758</v>
      </c>
    </row>
    <row r="564" spans="2:7">
      <c r="B564">
        <v>759</v>
      </c>
      <c r="E564">
        <v>0.76236994199999997</v>
      </c>
      <c r="F564">
        <v>6.4308624340422781E-5</v>
      </c>
      <c r="G564">
        <f t="shared" si="8"/>
        <v>759</v>
      </c>
    </row>
    <row r="565" spans="2:7">
      <c r="B565">
        <v>760</v>
      </c>
      <c r="E565">
        <v>0.75900000000000001</v>
      </c>
      <c r="F565">
        <v>6.0000000000000002E-5</v>
      </c>
      <c r="G565">
        <f t="shared" si="8"/>
        <v>760</v>
      </c>
    </row>
    <row r="566" spans="2:7">
      <c r="B566">
        <v>761</v>
      </c>
      <c r="E566">
        <v>0.75536535599999999</v>
      </c>
      <c r="F566">
        <v>5.5974355802861332E-5</v>
      </c>
      <c r="G566">
        <f t="shared" si="8"/>
        <v>761</v>
      </c>
    </row>
    <row r="567" spans="2:7">
      <c r="B567">
        <v>762</v>
      </c>
      <c r="E567">
        <v>0.75174811699999999</v>
      </c>
      <c r="F567">
        <v>5.2215985244559894E-5</v>
      </c>
      <c r="G567">
        <f t="shared" si="8"/>
        <v>762</v>
      </c>
    </row>
    <row r="568" spans="2:7">
      <c r="B568">
        <v>763</v>
      </c>
      <c r="E568">
        <v>0.74814820000000004</v>
      </c>
      <c r="F568">
        <v>4.8710436784827795E-5</v>
      </c>
      <c r="G568">
        <f t="shared" si="8"/>
        <v>763</v>
      </c>
    </row>
    <row r="569" spans="2:7">
      <c r="B569">
        <v>764</v>
      </c>
      <c r="E569">
        <v>0.74456552200000004</v>
      </c>
      <c r="F569">
        <v>4.5443258883397133E-5</v>
      </c>
      <c r="G569">
        <f t="shared" si="8"/>
        <v>764</v>
      </c>
    </row>
    <row r="570" spans="2:7">
      <c r="B570">
        <v>765</v>
      </c>
      <c r="E570">
        <v>0.74099999999999999</v>
      </c>
      <c r="F570">
        <v>4.2400000000000001E-5</v>
      </c>
      <c r="G570">
        <f t="shared" si="8"/>
        <v>765</v>
      </c>
    </row>
    <row r="571" spans="2:7">
      <c r="B571">
        <v>766</v>
      </c>
      <c r="E571">
        <v>0.73756836199999998</v>
      </c>
      <c r="F571">
        <v>3.9565915098815373E-5</v>
      </c>
      <c r="G571">
        <f t="shared" si="8"/>
        <v>766</v>
      </c>
    </row>
    <row r="572" spans="2:7">
      <c r="B572">
        <v>767</v>
      </c>
      <c r="E572">
        <v>0.73415261700000001</v>
      </c>
      <c r="F572">
        <v>3.6925085161809723E-5</v>
      </c>
      <c r="G572">
        <f t="shared" si="8"/>
        <v>767</v>
      </c>
    </row>
    <row r="573" spans="2:7">
      <c r="B573">
        <v>768</v>
      </c>
      <c r="E573">
        <v>0.73075268999999998</v>
      </c>
      <c r="F573">
        <v>3.4461297675396391E-5</v>
      </c>
      <c r="G573">
        <f t="shared" si="8"/>
        <v>768</v>
      </c>
    </row>
    <row r="574" spans="2:7">
      <c r="B574">
        <v>769</v>
      </c>
      <c r="E574">
        <v>0.72736850900000005</v>
      </c>
      <c r="F574">
        <v>3.21583401259887E-5</v>
      </c>
      <c r="G574">
        <f t="shared" si="8"/>
        <v>769</v>
      </c>
    </row>
    <row r="575" spans="2:7">
      <c r="B575">
        <v>770</v>
      </c>
      <c r="E575">
        <v>0.72399999999999998</v>
      </c>
      <c r="F575">
        <v>3.0000000000000001E-5</v>
      </c>
      <c r="G575">
        <f t="shared" si="8"/>
        <v>770</v>
      </c>
    </row>
    <row r="576" spans="2:7">
      <c r="B576">
        <v>771</v>
      </c>
      <c r="E576">
        <v>0.72077133199999999</v>
      </c>
      <c r="F576">
        <v>2.7973183801877165E-5</v>
      </c>
      <c r="G576">
        <f t="shared" si="8"/>
        <v>771</v>
      </c>
    </row>
    <row r="577" spans="2:7">
      <c r="B577">
        <v>772</v>
      </c>
      <c r="E577">
        <v>0.71755706200000002</v>
      </c>
      <c r="F577">
        <v>2.6077274108201206E-5</v>
      </c>
      <c r="G577">
        <f t="shared" si="8"/>
        <v>772</v>
      </c>
    </row>
    <row r="578" spans="2:7">
      <c r="B578">
        <v>773</v>
      </c>
      <c r="E578">
        <v>0.71435712600000001</v>
      </c>
      <c r="F578">
        <v>2.431477251358666E-5</v>
      </c>
      <c r="G578">
        <f t="shared" si="8"/>
        <v>773</v>
      </c>
    </row>
    <row r="579" spans="2:7">
      <c r="B579">
        <v>774</v>
      </c>
      <c r="E579">
        <v>0.71117145999999998</v>
      </c>
      <c r="F579">
        <v>2.2688180612648078E-5</v>
      </c>
      <c r="G579">
        <f t="shared" si="8"/>
        <v>774</v>
      </c>
    </row>
    <row r="580" spans="2:7">
      <c r="B580">
        <v>775</v>
      </c>
      <c r="E580">
        <v>0.70799999999999996</v>
      </c>
      <c r="F580">
        <v>2.12E-5</v>
      </c>
      <c r="G580">
        <f t="shared" si="8"/>
        <v>775</v>
      </c>
    </row>
    <row r="581" spans="2:7">
      <c r="B581">
        <v>776</v>
      </c>
      <c r="E581">
        <v>0.70477067500000001</v>
      </c>
      <c r="F581">
        <v>1.9845269693675962E-5</v>
      </c>
      <c r="G581">
        <f t="shared" si="8"/>
        <v>776</v>
      </c>
    </row>
    <row r="582" spans="2:7">
      <c r="B582">
        <v>777</v>
      </c>
      <c r="E582">
        <v>0.70155607900000005</v>
      </c>
      <c r="F582">
        <v>1.8589178405385457E-5</v>
      </c>
      <c r="G582">
        <f t="shared" ref="G582:G645" si="9">B582</f>
        <v>777</v>
      </c>
    </row>
    <row r="583" spans="2:7">
      <c r="B583">
        <v>778</v>
      </c>
      <c r="E583">
        <v>0.69835614599999996</v>
      </c>
      <c r="F583">
        <v>1.7389452270256974E-5</v>
      </c>
      <c r="G583">
        <f t="shared" si="9"/>
        <v>778</v>
      </c>
    </row>
    <row r="584" spans="2:7">
      <c r="B584">
        <v>779</v>
      </c>
      <c r="E584">
        <v>0.69517080899999995</v>
      </c>
      <c r="F584">
        <v>1.6203817423418992E-5</v>
      </c>
      <c r="G584">
        <f t="shared" si="9"/>
        <v>779</v>
      </c>
    </row>
    <row r="585" spans="2:7">
      <c r="B585">
        <v>780</v>
      </c>
      <c r="E585">
        <v>0.69199999999999995</v>
      </c>
      <c r="F585">
        <v>1.499E-5</v>
      </c>
      <c r="G585">
        <f t="shared" si="9"/>
        <v>780</v>
      </c>
    </row>
    <row r="586" spans="2:7">
      <c r="B586">
        <v>781</v>
      </c>
      <c r="E586">
        <v>0.68876998700000003</v>
      </c>
      <c r="G586">
        <f t="shared" si="9"/>
        <v>781</v>
      </c>
    </row>
    <row r="587" spans="2:7">
      <c r="B587">
        <v>782</v>
      </c>
      <c r="E587">
        <v>0.68555505100000003</v>
      </c>
      <c r="G587">
        <f t="shared" si="9"/>
        <v>782</v>
      </c>
    </row>
    <row r="588" spans="2:7">
      <c r="B588">
        <v>783</v>
      </c>
      <c r="E588">
        <v>0.68235512099999995</v>
      </c>
      <c r="G588">
        <f t="shared" si="9"/>
        <v>783</v>
      </c>
    </row>
    <row r="589" spans="2:7">
      <c r="B589">
        <v>784</v>
      </c>
      <c r="E589">
        <v>0.67917012700000001</v>
      </c>
      <c r="G589">
        <f t="shared" si="9"/>
        <v>784</v>
      </c>
    </row>
    <row r="590" spans="2:7">
      <c r="B590">
        <v>785</v>
      </c>
      <c r="E590">
        <v>0.67600000000000005</v>
      </c>
      <c r="G590">
        <f t="shared" si="9"/>
        <v>785</v>
      </c>
    </row>
    <row r="591" spans="2:7">
      <c r="B591">
        <v>786</v>
      </c>
      <c r="E591">
        <v>0.67297301300000001</v>
      </c>
      <c r="G591">
        <f t="shared" si="9"/>
        <v>786</v>
      </c>
    </row>
    <row r="592" spans="2:7">
      <c r="B592">
        <v>787</v>
      </c>
      <c r="E592">
        <v>0.66995958</v>
      </c>
      <c r="G592">
        <f t="shared" si="9"/>
        <v>787</v>
      </c>
    </row>
    <row r="593" spans="2:7">
      <c r="B593">
        <v>788</v>
      </c>
      <c r="E593">
        <v>0.66695963999999996</v>
      </c>
      <c r="G593">
        <f t="shared" si="9"/>
        <v>788</v>
      </c>
    </row>
    <row r="594" spans="2:7">
      <c r="B594">
        <v>789</v>
      </c>
      <c r="E594">
        <v>0.66397313400000002</v>
      </c>
      <c r="G594">
        <f t="shared" si="9"/>
        <v>789</v>
      </c>
    </row>
    <row r="595" spans="2:7">
      <c r="B595">
        <v>790</v>
      </c>
      <c r="E595">
        <v>0.66100000000000003</v>
      </c>
      <c r="G595">
        <f t="shared" si="9"/>
        <v>790</v>
      </c>
    </row>
    <row r="596" spans="2:7">
      <c r="B596">
        <v>791</v>
      </c>
      <c r="E596">
        <v>0.65797239200000002</v>
      </c>
      <c r="G596">
        <f t="shared" si="9"/>
        <v>791</v>
      </c>
    </row>
    <row r="597" spans="2:7">
      <c r="B597">
        <v>792</v>
      </c>
      <c r="E597">
        <v>0.65495865099999995</v>
      </c>
      <c r="G597">
        <f t="shared" si="9"/>
        <v>792</v>
      </c>
    </row>
    <row r="598" spans="2:7">
      <c r="B598">
        <v>793</v>
      </c>
      <c r="E598">
        <v>0.65195871400000005</v>
      </c>
      <c r="G598">
        <f t="shared" si="9"/>
        <v>793</v>
      </c>
    </row>
    <row r="599" spans="2:7">
      <c r="B599">
        <v>794</v>
      </c>
      <c r="E599">
        <v>0.648972518</v>
      </c>
      <c r="G599">
        <f t="shared" si="9"/>
        <v>794</v>
      </c>
    </row>
    <row r="600" spans="2:7">
      <c r="B600">
        <v>795</v>
      </c>
      <c r="E600">
        <v>0.64600000000000002</v>
      </c>
      <c r="G600">
        <f t="shared" si="9"/>
        <v>795</v>
      </c>
    </row>
    <row r="601" spans="2:7">
      <c r="B601">
        <v>796</v>
      </c>
      <c r="E601">
        <v>0.64297174199999996</v>
      </c>
      <c r="G601">
        <f t="shared" si="9"/>
        <v>796</v>
      </c>
    </row>
    <row r="602" spans="2:7">
      <c r="B602">
        <v>797</v>
      </c>
      <c r="E602">
        <v>0.639957679</v>
      </c>
      <c r="G602">
        <f t="shared" si="9"/>
        <v>797</v>
      </c>
    </row>
    <row r="603" spans="2:7">
      <c r="B603">
        <v>798</v>
      </c>
      <c r="E603">
        <v>0.63695774500000002</v>
      </c>
      <c r="G603">
        <f t="shared" si="9"/>
        <v>798</v>
      </c>
    </row>
    <row r="604" spans="2:7">
      <c r="B604">
        <v>799</v>
      </c>
      <c r="E604">
        <v>0.63397187399999999</v>
      </c>
      <c r="G604">
        <f t="shared" si="9"/>
        <v>799</v>
      </c>
    </row>
    <row r="605" spans="2:7">
      <c r="B605">
        <v>800</v>
      </c>
      <c r="E605">
        <v>0.63100000000000001</v>
      </c>
      <c r="G605">
        <f t="shared" si="9"/>
        <v>800</v>
      </c>
    </row>
    <row r="606" spans="2:7">
      <c r="B606">
        <v>801</v>
      </c>
      <c r="E606">
        <v>0.62817481500000005</v>
      </c>
      <c r="G606">
        <f t="shared" si="9"/>
        <v>801</v>
      </c>
    </row>
    <row r="607" spans="2:7">
      <c r="B607">
        <v>802</v>
      </c>
      <c r="E607">
        <v>0.62536227799999999</v>
      </c>
      <c r="G607">
        <f t="shared" si="9"/>
        <v>802</v>
      </c>
    </row>
    <row r="608" spans="2:7">
      <c r="B608">
        <v>803</v>
      </c>
      <c r="E608">
        <v>0.62256233500000002</v>
      </c>
      <c r="G608">
        <f t="shared" si="9"/>
        <v>803</v>
      </c>
    </row>
    <row r="609" spans="2:7">
      <c r="B609">
        <v>804</v>
      </c>
      <c r="E609">
        <v>0.61977492700000003</v>
      </c>
      <c r="G609">
        <f t="shared" si="9"/>
        <v>804</v>
      </c>
    </row>
    <row r="610" spans="2:7">
      <c r="B610">
        <v>805</v>
      </c>
      <c r="E610">
        <v>0.61699999999999999</v>
      </c>
      <c r="G610">
        <f t="shared" si="9"/>
        <v>805</v>
      </c>
    </row>
    <row r="611" spans="2:7">
      <c r="B611">
        <v>806</v>
      </c>
      <c r="E611">
        <v>0.61417423500000001</v>
      </c>
      <c r="G611">
        <f t="shared" si="9"/>
        <v>806</v>
      </c>
    </row>
    <row r="612" spans="2:7">
      <c r="B612">
        <v>807</v>
      </c>
      <c r="E612">
        <v>0.61136141200000005</v>
      </c>
      <c r="G612">
        <f t="shared" si="9"/>
        <v>807</v>
      </c>
    </row>
    <row r="613" spans="2:7">
      <c r="B613">
        <v>808</v>
      </c>
      <c r="E613">
        <v>0.60856147100000002</v>
      </c>
      <c r="G613">
        <f t="shared" si="9"/>
        <v>808</v>
      </c>
    </row>
    <row r="614" spans="2:7">
      <c r="B614">
        <v>809</v>
      </c>
      <c r="E614">
        <v>0.60577435300000004</v>
      </c>
      <c r="G614">
        <f t="shared" si="9"/>
        <v>809</v>
      </c>
    </row>
    <row r="615" spans="2:7">
      <c r="B615">
        <v>810</v>
      </c>
      <c r="E615">
        <v>0.60299999999999998</v>
      </c>
      <c r="G615">
        <f t="shared" si="9"/>
        <v>810</v>
      </c>
    </row>
    <row r="616" spans="2:7">
      <c r="B616">
        <v>811</v>
      </c>
      <c r="E616">
        <v>0.60017362799999996</v>
      </c>
      <c r="G616">
        <f t="shared" si="9"/>
        <v>811</v>
      </c>
    </row>
    <row r="617" spans="2:7">
      <c r="B617">
        <v>812</v>
      </c>
      <c r="E617">
        <v>0.59736050500000004</v>
      </c>
      <c r="G617">
        <f t="shared" si="9"/>
        <v>812</v>
      </c>
    </row>
    <row r="618" spans="2:7">
      <c r="B618">
        <v>813</v>
      </c>
      <c r="E618">
        <v>0.59456056599999996</v>
      </c>
      <c r="G618">
        <f t="shared" si="9"/>
        <v>813</v>
      </c>
    </row>
    <row r="619" spans="2:7">
      <c r="B619">
        <v>814</v>
      </c>
      <c r="E619">
        <v>0.59177375200000004</v>
      </c>
      <c r="G619">
        <f t="shared" si="9"/>
        <v>814</v>
      </c>
    </row>
    <row r="620" spans="2:7">
      <c r="B620">
        <v>815</v>
      </c>
      <c r="E620">
        <v>0.58899999999999997</v>
      </c>
      <c r="G620">
        <f t="shared" si="9"/>
        <v>815</v>
      </c>
    </row>
    <row r="621" spans="2:7">
      <c r="B621">
        <v>816</v>
      </c>
      <c r="E621">
        <v>0.58617299300000003</v>
      </c>
      <c r="G621">
        <f t="shared" si="9"/>
        <v>816</v>
      </c>
    </row>
    <row r="622" spans="2:7">
      <c r="B622">
        <v>817</v>
      </c>
      <c r="E622">
        <v>0.58335955399999995</v>
      </c>
      <c r="G622">
        <f t="shared" si="9"/>
        <v>817</v>
      </c>
    </row>
    <row r="623" spans="2:7">
      <c r="B623">
        <v>818</v>
      </c>
      <c r="E623">
        <v>0.58055961899999997</v>
      </c>
      <c r="G623">
        <f t="shared" si="9"/>
        <v>818</v>
      </c>
    </row>
    <row r="624" spans="2:7">
      <c r="B624">
        <v>819</v>
      </c>
      <c r="E624">
        <v>0.57777312199999997</v>
      </c>
      <c r="G624">
        <f t="shared" si="9"/>
        <v>819</v>
      </c>
    </row>
    <row r="625" spans="2:7">
      <c r="B625">
        <v>820</v>
      </c>
      <c r="E625">
        <v>0.57499999999999996</v>
      </c>
      <c r="G625">
        <f t="shared" si="9"/>
        <v>820</v>
      </c>
    </row>
    <row r="626" spans="2:7">
      <c r="B626">
        <v>821</v>
      </c>
      <c r="E626">
        <v>0.57237616300000005</v>
      </c>
      <c r="G626">
        <f t="shared" si="9"/>
        <v>821</v>
      </c>
    </row>
    <row r="627" spans="2:7">
      <c r="B627">
        <v>822</v>
      </c>
      <c r="E627">
        <v>0.56976429900000003</v>
      </c>
      <c r="G627">
        <f t="shared" si="9"/>
        <v>822</v>
      </c>
    </row>
    <row r="628" spans="2:7">
      <c r="B628">
        <v>823</v>
      </c>
      <c r="E628">
        <v>0.56716435300000001</v>
      </c>
      <c r="G628">
        <f t="shared" si="9"/>
        <v>823</v>
      </c>
    </row>
    <row r="629" spans="2:7">
      <c r="B629">
        <v>824</v>
      </c>
      <c r="E629">
        <v>0.56457627200000005</v>
      </c>
      <c r="G629">
        <f t="shared" si="9"/>
        <v>824</v>
      </c>
    </row>
    <row r="630" spans="2:7">
      <c r="B630">
        <v>825</v>
      </c>
      <c r="E630">
        <v>0.56200000000000006</v>
      </c>
      <c r="G630">
        <f t="shared" si="9"/>
        <v>825</v>
      </c>
    </row>
    <row r="631" spans="2:7">
      <c r="B631">
        <v>826</v>
      </c>
      <c r="E631">
        <v>0.55957923499999995</v>
      </c>
      <c r="G631">
        <f t="shared" si="9"/>
        <v>826</v>
      </c>
    </row>
    <row r="632" spans="2:7">
      <c r="B632">
        <v>827</v>
      </c>
      <c r="E632">
        <v>0.55716889800000002</v>
      </c>
      <c r="G632">
        <f t="shared" si="9"/>
        <v>827</v>
      </c>
    </row>
    <row r="633" spans="2:7">
      <c r="B633">
        <v>828</v>
      </c>
      <c r="E633">
        <v>0.55476894200000004</v>
      </c>
      <c r="G633">
        <f t="shared" si="9"/>
        <v>828</v>
      </c>
    </row>
    <row r="634" spans="2:7">
      <c r="B634">
        <v>829</v>
      </c>
      <c r="E634">
        <v>0.55237932499999998</v>
      </c>
      <c r="G634">
        <f t="shared" si="9"/>
        <v>829</v>
      </c>
    </row>
    <row r="635" spans="2:7">
      <c r="B635">
        <v>830</v>
      </c>
      <c r="E635">
        <v>0.55000000000000004</v>
      </c>
      <c r="G635">
        <f t="shared" si="9"/>
        <v>830</v>
      </c>
    </row>
    <row r="636" spans="2:7">
      <c r="B636">
        <v>831</v>
      </c>
      <c r="E636">
        <v>0.54737506400000002</v>
      </c>
      <c r="G636">
        <f t="shared" si="9"/>
        <v>831</v>
      </c>
    </row>
    <row r="637" spans="2:7">
      <c r="B637">
        <v>832</v>
      </c>
      <c r="E637">
        <v>0.54476265499999998</v>
      </c>
      <c r="G637">
        <f t="shared" si="9"/>
        <v>832</v>
      </c>
    </row>
    <row r="638" spans="2:7">
      <c r="B638">
        <v>833</v>
      </c>
      <c r="E638">
        <v>0.54216271500000002</v>
      </c>
      <c r="G638">
        <f t="shared" si="9"/>
        <v>833</v>
      </c>
    </row>
    <row r="639" spans="2:7">
      <c r="B639">
        <v>834</v>
      </c>
      <c r="E639">
        <v>0.53957518299999996</v>
      </c>
      <c r="G639">
        <f t="shared" si="9"/>
        <v>834</v>
      </c>
    </row>
    <row r="640" spans="2:7">
      <c r="B640">
        <v>835</v>
      </c>
      <c r="E640">
        <v>0.53700000000000003</v>
      </c>
      <c r="G640">
        <f t="shared" si="9"/>
        <v>835</v>
      </c>
    </row>
    <row r="641" spans="2:7">
      <c r="B641">
        <v>836</v>
      </c>
      <c r="E641">
        <v>0.534578255</v>
      </c>
      <c r="G641">
        <f t="shared" si="9"/>
        <v>836</v>
      </c>
    </row>
    <row r="642" spans="2:7">
      <c r="B642">
        <v>837</v>
      </c>
      <c r="E642">
        <v>0.53216743200000005</v>
      </c>
      <c r="G642">
        <f t="shared" si="9"/>
        <v>837</v>
      </c>
    </row>
    <row r="643" spans="2:7">
      <c r="B643">
        <v>838</v>
      </c>
      <c r="E643">
        <v>0.52976748100000004</v>
      </c>
      <c r="G643">
        <f t="shared" si="9"/>
        <v>838</v>
      </c>
    </row>
    <row r="644" spans="2:7">
      <c r="B644">
        <v>839</v>
      </c>
      <c r="E644">
        <v>0.52737835300000002</v>
      </c>
      <c r="G644">
        <f t="shared" si="9"/>
        <v>839</v>
      </c>
    </row>
    <row r="645" spans="2:7">
      <c r="B645">
        <v>840</v>
      </c>
      <c r="E645">
        <v>0.52500000000000002</v>
      </c>
      <c r="G645">
        <f t="shared" si="9"/>
        <v>840</v>
      </c>
    </row>
    <row r="646" spans="2:7">
      <c r="B646">
        <v>841</v>
      </c>
      <c r="E646">
        <v>0.52257775100000003</v>
      </c>
      <c r="G646">
        <f t="shared" ref="G646:G709" si="10">B646</f>
        <v>841</v>
      </c>
    </row>
    <row r="647" spans="2:7">
      <c r="B647">
        <v>842</v>
      </c>
      <c r="E647">
        <v>0.52016667800000005</v>
      </c>
      <c r="G647">
        <f t="shared" si="10"/>
        <v>842</v>
      </c>
    </row>
    <row r="648" spans="2:7">
      <c r="B648">
        <v>843</v>
      </c>
      <c r="E648">
        <v>0.51776672999999995</v>
      </c>
      <c r="G648">
        <f t="shared" si="10"/>
        <v>843</v>
      </c>
    </row>
    <row r="649" spans="2:7">
      <c r="B649">
        <v>844</v>
      </c>
      <c r="E649">
        <v>0.51537785400000002</v>
      </c>
      <c r="G649">
        <f t="shared" si="10"/>
        <v>844</v>
      </c>
    </row>
    <row r="650" spans="2:7">
      <c r="B650">
        <v>845</v>
      </c>
      <c r="E650">
        <v>0.51300000000000001</v>
      </c>
      <c r="G650">
        <f t="shared" si="10"/>
        <v>845</v>
      </c>
    </row>
    <row r="651" spans="2:7">
      <c r="B651">
        <v>846</v>
      </c>
      <c r="E651">
        <v>0.51057722299999997</v>
      </c>
      <c r="G651">
        <f t="shared" si="10"/>
        <v>846</v>
      </c>
    </row>
    <row r="652" spans="2:7">
      <c r="B652">
        <v>847</v>
      </c>
      <c r="E652">
        <v>0.50816588900000004</v>
      </c>
      <c r="G652">
        <f t="shared" si="10"/>
        <v>847</v>
      </c>
    </row>
    <row r="653" spans="2:7">
      <c r="B653">
        <v>848</v>
      </c>
      <c r="E653">
        <v>0.505765943</v>
      </c>
      <c r="G653">
        <f t="shared" si="10"/>
        <v>848</v>
      </c>
    </row>
    <row r="654" spans="2:7">
      <c r="B654">
        <v>849</v>
      </c>
      <c r="E654">
        <v>0.50337733100000004</v>
      </c>
      <c r="G654">
        <f t="shared" si="10"/>
        <v>849</v>
      </c>
    </row>
    <row r="655" spans="2:7">
      <c r="B655">
        <v>850</v>
      </c>
      <c r="E655">
        <v>0.501</v>
      </c>
      <c r="G655">
        <f t="shared" si="10"/>
        <v>850</v>
      </c>
    </row>
    <row r="656" spans="2:7">
      <c r="B656">
        <v>851</v>
      </c>
      <c r="E656">
        <v>0.49878042</v>
      </c>
      <c r="G656">
        <f t="shared" si="10"/>
        <v>851</v>
      </c>
    </row>
    <row r="657" spans="2:7">
      <c r="B657">
        <v>852</v>
      </c>
      <c r="E657">
        <v>0.49657067399999999</v>
      </c>
      <c r="G657">
        <f t="shared" si="10"/>
        <v>852</v>
      </c>
    </row>
    <row r="658" spans="2:7">
      <c r="B658">
        <v>853</v>
      </c>
      <c r="E658">
        <v>0.49437071700000002</v>
      </c>
      <c r="G658">
        <f t="shared" si="10"/>
        <v>853</v>
      </c>
    </row>
    <row r="659" spans="2:7">
      <c r="B659">
        <v>854</v>
      </c>
      <c r="E659">
        <v>0.49218050699999999</v>
      </c>
      <c r="G659">
        <f t="shared" si="10"/>
        <v>854</v>
      </c>
    </row>
    <row r="660" spans="2:7">
      <c r="B660">
        <v>855</v>
      </c>
      <c r="E660">
        <v>0.49</v>
      </c>
      <c r="G660">
        <f t="shared" si="10"/>
        <v>855</v>
      </c>
    </row>
    <row r="661" spans="2:7">
      <c r="B661">
        <v>856</v>
      </c>
      <c r="E661">
        <v>0.48777997499999998</v>
      </c>
      <c r="G661">
        <f t="shared" si="10"/>
        <v>856</v>
      </c>
    </row>
    <row r="662" spans="2:7">
      <c r="B662">
        <v>857</v>
      </c>
      <c r="E662">
        <v>0.48557000700000003</v>
      </c>
      <c r="G662">
        <f t="shared" si="10"/>
        <v>857</v>
      </c>
    </row>
    <row r="663" spans="2:7">
      <c r="B663">
        <v>858</v>
      </c>
      <c r="E663">
        <v>0.48337005300000002</v>
      </c>
      <c r="G663">
        <f t="shared" si="10"/>
        <v>858</v>
      </c>
    </row>
    <row r="664" spans="2:7">
      <c r="B664">
        <v>859</v>
      </c>
      <c r="E664">
        <v>0.48118006499999999</v>
      </c>
      <c r="G664">
        <f t="shared" si="10"/>
        <v>859</v>
      </c>
    </row>
    <row r="665" spans="2:7">
      <c r="B665">
        <v>860</v>
      </c>
      <c r="E665">
        <v>0.47899999999999998</v>
      </c>
      <c r="G665">
        <f t="shared" si="10"/>
        <v>860</v>
      </c>
    </row>
    <row r="666" spans="2:7">
      <c r="B666">
        <v>861</v>
      </c>
      <c r="E666">
        <v>0.47677950800000002</v>
      </c>
      <c r="G666">
        <f t="shared" si="10"/>
        <v>861</v>
      </c>
    </row>
    <row r="667" spans="2:7">
      <c r="B667">
        <v>862</v>
      </c>
      <c r="E667">
        <v>0.47456931000000002</v>
      </c>
      <c r="G667">
        <f t="shared" si="10"/>
        <v>862</v>
      </c>
    </row>
    <row r="668" spans="2:7">
      <c r="B668">
        <v>863</v>
      </c>
      <c r="E668">
        <v>0.47236935699999999</v>
      </c>
      <c r="G668">
        <f t="shared" si="10"/>
        <v>863</v>
      </c>
    </row>
    <row r="669" spans="2:7">
      <c r="B669">
        <v>864</v>
      </c>
      <c r="E669">
        <v>0.470179603</v>
      </c>
      <c r="G669">
        <f t="shared" si="10"/>
        <v>864</v>
      </c>
    </row>
    <row r="670" spans="2:7">
      <c r="B670">
        <v>865</v>
      </c>
      <c r="E670">
        <v>0.46800000000000003</v>
      </c>
      <c r="G670">
        <f t="shared" si="10"/>
        <v>865</v>
      </c>
    </row>
    <row r="671" spans="2:7">
      <c r="B671">
        <v>866</v>
      </c>
      <c r="E671">
        <v>0.46577901999999999</v>
      </c>
      <c r="G671">
        <f t="shared" si="10"/>
        <v>866</v>
      </c>
    </row>
    <row r="672" spans="2:7">
      <c r="B672">
        <v>867</v>
      </c>
      <c r="E672">
        <v>0.46356857899999998</v>
      </c>
      <c r="G672">
        <f t="shared" si="10"/>
        <v>867</v>
      </c>
    </row>
    <row r="673" spans="2:7">
      <c r="B673">
        <v>868</v>
      </c>
      <c r="E673">
        <v>0.46136862899999997</v>
      </c>
      <c r="G673">
        <f t="shared" si="10"/>
        <v>868</v>
      </c>
    </row>
    <row r="674" spans="2:7">
      <c r="B674">
        <v>869</v>
      </c>
      <c r="E674">
        <v>0.45917911900000002</v>
      </c>
      <c r="G674">
        <f t="shared" si="10"/>
        <v>869</v>
      </c>
    </row>
    <row r="675" spans="2:7">
      <c r="B675">
        <v>870</v>
      </c>
      <c r="E675">
        <v>0.45700000000000002</v>
      </c>
      <c r="G675">
        <f t="shared" si="10"/>
        <v>870</v>
      </c>
    </row>
    <row r="676" spans="2:7">
      <c r="B676">
        <v>871</v>
      </c>
      <c r="E676">
        <v>0.454982261</v>
      </c>
      <c r="G676">
        <f t="shared" si="10"/>
        <v>871</v>
      </c>
    </row>
    <row r="677" spans="2:7">
      <c r="B677">
        <v>872</v>
      </c>
      <c r="E677">
        <v>0.45297343099999998</v>
      </c>
      <c r="G677">
        <f t="shared" si="10"/>
        <v>872</v>
      </c>
    </row>
    <row r="678" spans="2:7">
      <c r="B678">
        <v>873</v>
      </c>
      <c r="E678">
        <v>0.45097346999999999</v>
      </c>
      <c r="G678">
        <f t="shared" si="10"/>
        <v>873</v>
      </c>
    </row>
    <row r="679" spans="2:7">
      <c r="B679">
        <v>874</v>
      </c>
      <c r="E679">
        <v>0.44898233900000001</v>
      </c>
      <c r="G679">
        <f t="shared" si="10"/>
        <v>874</v>
      </c>
    </row>
    <row r="680" spans="2:7">
      <c r="B680">
        <v>875</v>
      </c>
      <c r="E680">
        <v>0.44700000000000001</v>
      </c>
      <c r="G680">
        <f t="shared" si="10"/>
        <v>875</v>
      </c>
    </row>
    <row r="681" spans="2:7">
      <c r="B681">
        <v>876</v>
      </c>
      <c r="E681">
        <v>0.44498185899999998</v>
      </c>
      <c r="G681">
        <f t="shared" si="10"/>
        <v>876</v>
      </c>
    </row>
    <row r="682" spans="2:7">
      <c r="B682">
        <v>877</v>
      </c>
      <c r="E682">
        <v>0.44297282900000001</v>
      </c>
      <c r="G682">
        <f t="shared" si="10"/>
        <v>877</v>
      </c>
    </row>
    <row r="683" spans="2:7">
      <c r="B683">
        <v>878</v>
      </c>
      <c r="E683">
        <v>0.44097287000000002</v>
      </c>
      <c r="G683">
        <f t="shared" si="10"/>
        <v>878</v>
      </c>
    </row>
    <row r="684" spans="2:7">
      <c r="B684">
        <v>879</v>
      </c>
      <c r="E684">
        <v>0.43898194099999999</v>
      </c>
      <c r="G684">
        <f t="shared" si="10"/>
        <v>879</v>
      </c>
    </row>
    <row r="685" spans="2:7">
      <c r="B685">
        <v>880</v>
      </c>
      <c r="E685">
        <v>0.437</v>
      </c>
      <c r="G685">
        <f t="shared" si="10"/>
        <v>880</v>
      </c>
    </row>
    <row r="686" spans="2:7">
      <c r="B686">
        <v>881</v>
      </c>
      <c r="E686">
        <v>0.434981438</v>
      </c>
      <c r="G686">
        <f t="shared" si="10"/>
        <v>881</v>
      </c>
    </row>
    <row r="687" spans="2:7">
      <c r="B687">
        <v>882</v>
      </c>
      <c r="E687">
        <v>0.43297219999999997</v>
      </c>
      <c r="G687">
        <f t="shared" si="10"/>
        <v>882</v>
      </c>
    </row>
    <row r="688" spans="2:7">
      <c r="B688">
        <v>883</v>
      </c>
      <c r="E688">
        <v>0.43097224299999998</v>
      </c>
      <c r="G688">
        <f t="shared" si="10"/>
        <v>883</v>
      </c>
    </row>
    <row r="689" spans="2:7">
      <c r="B689">
        <v>884</v>
      </c>
      <c r="E689">
        <v>0.428981524</v>
      </c>
      <c r="G689">
        <f t="shared" si="10"/>
        <v>884</v>
      </c>
    </row>
    <row r="690" spans="2:7">
      <c r="B690">
        <v>885</v>
      </c>
      <c r="E690">
        <v>0.42699999999999999</v>
      </c>
      <c r="G690">
        <f t="shared" si="10"/>
        <v>885</v>
      </c>
    </row>
    <row r="691" spans="2:7">
      <c r="B691">
        <v>886</v>
      </c>
      <c r="E691">
        <v>0.42498099700000003</v>
      </c>
      <c r="G691">
        <f t="shared" si="10"/>
        <v>886</v>
      </c>
    </row>
    <row r="692" spans="2:7">
      <c r="B692">
        <v>887</v>
      </c>
      <c r="E692">
        <v>0.42297154100000001</v>
      </c>
      <c r="G692">
        <f t="shared" si="10"/>
        <v>887</v>
      </c>
    </row>
    <row r="693" spans="2:7">
      <c r="B693">
        <v>888</v>
      </c>
      <c r="E693">
        <v>0.42097158499999998</v>
      </c>
      <c r="G693">
        <f t="shared" si="10"/>
        <v>888</v>
      </c>
    </row>
    <row r="694" spans="2:7">
      <c r="B694">
        <v>889</v>
      </c>
      <c r="E694">
        <v>0.41898108699999997</v>
      </c>
      <c r="G694">
        <f t="shared" si="10"/>
        <v>889</v>
      </c>
    </row>
    <row r="695" spans="2:7">
      <c r="B695">
        <v>890</v>
      </c>
      <c r="E695">
        <v>0.41699999999999998</v>
      </c>
      <c r="G695">
        <f t="shared" si="10"/>
        <v>890</v>
      </c>
    </row>
    <row r="696" spans="2:7">
      <c r="B696">
        <v>891</v>
      </c>
      <c r="E696">
        <v>0.41498053499999998</v>
      </c>
      <c r="G696">
        <f t="shared" si="10"/>
        <v>891</v>
      </c>
    </row>
    <row r="697" spans="2:7">
      <c r="B697">
        <v>892</v>
      </c>
      <c r="E697">
        <v>0.41297084899999997</v>
      </c>
      <c r="G697">
        <f t="shared" si="10"/>
        <v>892</v>
      </c>
    </row>
    <row r="698" spans="2:7">
      <c r="B698">
        <v>893</v>
      </c>
      <c r="E698">
        <v>0.41097089599999997</v>
      </c>
      <c r="G698">
        <f t="shared" si="10"/>
        <v>893</v>
      </c>
    </row>
    <row r="699" spans="2:7">
      <c r="B699">
        <v>894</v>
      </c>
      <c r="E699">
        <v>0.40898062899999998</v>
      </c>
      <c r="G699">
        <f t="shared" si="10"/>
        <v>894</v>
      </c>
    </row>
    <row r="700" spans="2:7">
      <c r="B700">
        <v>895</v>
      </c>
      <c r="E700">
        <v>0.40699999999999997</v>
      </c>
      <c r="G700">
        <f t="shared" si="10"/>
        <v>895</v>
      </c>
    </row>
    <row r="701" spans="2:7">
      <c r="B701">
        <v>896</v>
      </c>
      <c r="E701">
        <v>0.405183864</v>
      </c>
      <c r="G701">
        <f t="shared" si="10"/>
        <v>896</v>
      </c>
    </row>
    <row r="702" spans="2:7">
      <c r="B702">
        <v>897</v>
      </c>
      <c r="E702">
        <v>0.40337583199999999</v>
      </c>
      <c r="G702">
        <f t="shared" si="10"/>
        <v>897</v>
      </c>
    </row>
    <row r="703" spans="2:7">
      <c r="B703">
        <v>898</v>
      </c>
      <c r="E703">
        <v>0.401575868</v>
      </c>
      <c r="G703">
        <f t="shared" si="10"/>
        <v>898</v>
      </c>
    </row>
    <row r="704" spans="2:7">
      <c r="B704">
        <v>899</v>
      </c>
      <c r="E704">
        <v>0.39978393600000001</v>
      </c>
      <c r="G704">
        <f t="shared" si="10"/>
        <v>899</v>
      </c>
    </row>
    <row r="705" spans="2:7">
      <c r="B705">
        <v>900</v>
      </c>
      <c r="E705">
        <v>0.39800000000000002</v>
      </c>
      <c r="G705">
        <f t="shared" si="10"/>
        <v>900</v>
      </c>
    </row>
    <row r="706" spans="2:7">
      <c r="B706">
        <v>901</v>
      </c>
      <c r="E706">
        <v>0.39618349400000002</v>
      </c>
      <c r="G706">
        <f t="shared" si="10"/>
        <v>901</v>
      </c>
    </row>
    <row r="707" spans="2:7">
      <c r="B707">
        <v>902</v>
      </c>
      <c r="E707">
        <v>0.39437527900000002</v>
      </c>
      <c r="G707">
        <f t="shared" si="10"/>
        <v>902</v>
      </c>
    </row>
    <row r="708" spans="2:7">
      <c r="B708">
        <v>903</v>
      </c>
      <c r="E708">
        <v>0.39257531699999998</v>
      </c>
      <c r="G708">
        <f t="shared" si="10"/>
        <v>903</v>
      </c>
    </row>
    <row r="709" spans="2:7">
      <c r="B709">
        <v>904</v>
      </c>
      <c r="E709">
        <v>0.390783569</v>
      </c>
      <c r="G709">
        <f t="shared" si="10"/>
        <v>904</v>
      </c>
    </row>
    <row r="710" spans="2:7">
      <c r="B710">
        <v>905</v>
      </c>
      <c r="E710">
        <v>0.38900000000000001</v>
      </c>
      <c r="G710">
        <f t="shared" ref="G710:G773" si="11">B710</f>
        <v>905</v>
      </c>
    </row>
    <row r="711" spans="2:7">
      <c r="B711">
        <v>906</v>
      </c>
      <c r="E711">
        <v>0.38718310700000003</v>
      </c>
      <c r="G711">
        <f t="shared" si="11"/>
        <v>906</v>
      </c>
    </row>
    <row r="712" spans="2:7">
      <c r="B712">
        <v>907</v>
      </c>
      <c r="E712">
        <v>0.38537470000000001</v>
      </c>
      <c r="G712">
        <f t="shared" si="11"/>
        <v>907</v>
      </c>
    </row>
    <row r="713" spans="2:7">
      <c r="B713">
        <v>908</v>
      </c>
      <c r="E713">
        <v>0.383574739</v>
      </c>
      <c r="G713">
        <f t="shared" si="11"/>
        <v>908</v>
      </c>
    </row>
    <row r="714" spans="2:7">
      <c r="B714">
        <v>909</v>
      </c>
      <c r="E714">
        <v>0.381783186</v>
      </c>
      <c r="G714">
        <f t="shared" si="11"/>
        <v>909</v>
      </c>
    </row>
    <row r="715" spans="2:7">
      <c r="B715">
        <v>910</v>
      </c>
      <c r="E715">
        <v>0.38</v>
      </c>
      <c r="G715">
        <f t="shared" si="11"/>
        <v>910</v>
      </c>
    </row>
    <row r="716" spans="2:7">
      <c r="B716">
        <v>911</v>
      </c>
      <c r="E716">
        <v>0.37838635399999998</v>
      </c>
      <c r="G716">
        <f t="shared" si="11"/>
        <v>911</v>
      </c>
    </row>
    <row r="717" spans="2:7">
      <c r="B717">
        <v>912</v>
      </c>
      <c r="E717">
        <v>0.37677955899999999</v>
      </c>
      <c r="G717">
        <f t="shared" si="11"/>
        <v>912</v>
      </c>
    </row>
    <row r="718" spans="2:7">
      <c r="B718">
        <v>913</v>
      </c>
      <c r="E718">
        <v>0.37517958800000001</v>
      </c>
      <c r="G718">
        <f t="shared" si="11"/>
        <v>913</v>
      </c>
    </row>
    <row r="719" spans="2:7">
      <c r="B719">
        <v>914</v>
      </c>
      <c r="E719">
        <v>0.37358641199999998</v>
      </c>
      <c r="G719">
        <f t="shared" si="11"/>
        <v>914</v>
      </c>
    </row>
    <row r="720" spans="2:7">
      <c r="B720">
        <v>915</v>
      </c>
      <c r="E720">
        <v>0.372</v>
      </c>
      <c r="G720">
        <f t="shared" si="11"/>
        <v>915</v>
      </c>
    </row>
    <row r="721" spans="2:7">
      <c r="B721">
        <v>916</v>
      </c>
      <c r="E721">
        <v>0.37018232299999998</v>
      </c>
      <c r="G721">
        <f t="shared" si="11"/>
        <v>916</v>
      </c>
    </row>
    <row r="722" spans="2:7">
      <c r="B722">
        <v>917</v>
      </c>
      <c r="E722">
        <v>0.36837352800000001</v>
      </c>
      <c r="G722">
        <f t="shared" si="11"/>
        <v>917</v>
      </c>
    </row>
    <row r="723" spans="2:7">
      <c r="B723">
        <v>918</v>
      </c>
      <c r="E723">
        <v>0.36657357200000001</v>
      </c>
      <c r="G723">
        <f t="shared" si="11"/>
        <v>918</v>
      </c>
    </row>
    <row r="724" spans="2:7">
      <c r="B724">
        <v>919</v>
      </c>
      <c r="E724">
        <v>0.36478241</v>
      </c>
      <c r="G724">
        <f t="shared" si="11"/>
        <v>919</v>
      </c>
    </row>
    <row r="725" spans="2:7">
      <c r="B725">
        <v>920</v>
      </c>
      <c r="E725">
        <v>0.36299999999999999</v>
      </c>
      <c r="G725">
        <f t="shared" si="11"/>
        <v>920</v>
      </c>
    </row>
    <row r="726" spans="2:7">
      <c r="B726">
        <v>921</v>
      </c>
      <c r="E726">
        <v>0.36138570599999997</v>
      </c>
      <c r="G726">
        <f t="shared" si="11"/>
        <v>921</v>
      </c>
    </row>
    <row r="727" spans="2:7">
      <c r="B727">
        <v>922</v>
      </c>
      <c r="E727">
        <v>0.35977859099999998</v>
      </c>
      <c r="G727">
        <f t="shared" si="11"/>
        <v>922</v>
      </c>
    </row>
    <row r="728" spans="2:7">
      <c r="B728">
        <v>923</v>
      </c>
      <c r="E728">
        <v>0.358178622</v>
      </c>
      <c r="G728">
        <f t="shared" si="11"/>
        <v>923</v>
      </c>
    </row>
    <row r="729" spans="2:7">
      <c r="B729">
        <v>924</v>
      </c>
      <c r="E729">
        <v>0.356585769</v>
      </c>
      <c r="G729">
        <f t="shared" si="11"/>
        <v>924</v>
      </c>
    </row>
    <row r="730" spans="2:7">
      <c r="B730">
        <v>925</v>
      </c>
      <c r="E730">
        <v>0.35499999999999998</v>
      </c>
      <c r="G730">
        <f t="shared" si="11"/>
        <v>925</v>
      </c>
    </row>
    <row r="731" spans="2:7">
      <c r="B731">
        <v>926</v>
      </c>
      <c r="E731">
        <v>0.353385379</v>
      </c>
      <c r="G731">
        <f t="shared" si="11"/>
        <v>926</v>
      </c>
    </row>
    <row r="732" spans="2:7">
      <c r="B732">
        <v>927</v>
      </c>
      <c r="E732">
        <v>0.35177810199999998</v>
      </c>
      <c r="G732">
        <f t="shared" si="11"/>
        <v>927</v>
      </c>
    </row>
    <row r="733" spans="2:7">
      <c r="B733">
        <v>928</v>
      </c>
      <c r="E733">
        <v>0.35017813599999997</v>
      </c>
      <c r="G733">
        <f t="shared" si="11"/>
        <v>928</v>
      </c>
    </row>
    <row r="734" spans="2:7">
      <c r="B734">
        <v>929</v>
      </c>
      <c r="E734">
        <v>0.34858544600000002</v>
      </c>
      <c r="G734">
        <f t="shared" si="11"/>
        <v>929</v>
      </c>
    </row>
    <row r="735" spans="2:7">
      <c r="B735">
        <v>930</v>
      </c>
      <c r="E735">
        <v>0.34699999999999998</v>
      </c>
      <c r="G735">
        <f t="shared" si="11"/>
        <v>930</v>
      </c>
    </row>
    <row r="736" spans="2:7">
      <c r="B736">
        <v>931</v>
      </c>
      <c r="E736">
        <v>0.34538503700000001</v>
      </c>
      <c r="G736">
        <f t="shared" si="11"/>
        <v>931</v>
      </c>
    </row>
    <row r="737" spans="2:7">
      <c r="B737">
        <v>932</v>
      </c>
      <c r="E737">
        <v>0.34377759099999999</v>
      </c>
      <c r="G737">
        <f t="shared" si="11"/>
        <v>932</v>
      </c>
    </row>
    <row r="738" spans="2:7">
      <c r="B738">
        <v>933</v>
      </c>
      <c r="E738">
        <v>0.34217762600000001</v>
      </c>
      <c r="G738">
        <f t="shared" si="11"/>
        <v>933</v>
      </c>
    </row>
    <row r="739" spans="2:7">
      <c r="B739">
        <v>934</v>
      </c>
      <c r="E739">
        <v>0.340585107</v>
      </c>
      <c r="G739">
        <f t="shared" si="11"/>
        <v>934</v>
      </c>
    </row>
    <row r="740" spans="2:7">
      <c r="B740">
        <v>935</v>
      </c>
      <c r="E740">
        <v>0.33900000000000002</v>
      </c>
      <c r="G740">
        <f t="shared" si="11"/>
        <v>935</v>
      </c>
    </row>
    <row r="741" spans="2:7">
      <c r="B741">
        <v>936</v>
      </c>
      <c r="E741">
        <v>0.33738467900000002</v>
      </c>
      <c r="G741">
        <f t="shared" si="11"/>
        <v>936</v>
      </c>
    </row>
    <row r="742" spans="2:7">
      <c r="B742">
        <v>937</v>
      </c>
      <c r="E742">
        <v>0.33577705600000002</v>
      </c>
      <c r="G742">
        <f t="shared" si="11"/>
        <v>937</v>
      </c>
    </row>
    <row r="743" spans="2:7">
      <c r="B743">
        <v>938</v>
      </c>
      <c r="E743">
        <v>0.33417709200000001</v>
      </c>
      <c r="G743">
        <f t="shared" si="11"/>
        <v>938</v>
      </c>
    </row>
    <row r="744" spans="2:7">
      <c r="B744">
        <v>939</v>
      </c>
      <c r="E744">
        <v>0.33258475199999998</v>
      </c>
      <c r="G744">
        <f t="shared" si="11"/>
        <v>939</v>
      </c>
    </row>
    <row r="745" spans="2:7">
      <c r="B745">
        <v>940</v>
      </c>
      <c r="E745">
        <v>0.33100000000000002</v>
      </c>
      <c r="G745">
        <f t="shared" si="11"/>
        <v>940</v>
      </c>
    </row>
    <row r="746" spans="2:7">
      <c r="B746">
        <v>941</v>
      </c>
      <c r="E746">
        <v>0.32958800500000002</v>
      </c>
      <c r="G746">
        <f t="shared" si="11"/>
        <v>941</v>
      </c>
    </row>
    <row r="747" spans="2:7">
      <c r="B747">
        <v>942</v>
      </c>
      <c r="E747">
        <v>0.32818203200000001</v>
      </c>
      <c r="G747">
        <f t="shared" si="11"/>
        <v>942</v>
      </c>
    </row>
    <row r="748" spans="2:7">
      <c r="B748">
        <v>943</v>
      </c>
      <c r="E748">
        <v>0.32678205799999999</v>
      </c>
      <c r="G748">
        <f t="shared" si="11"/>
        <v>943</v>
      </c>
    </row>
    <row r="749" spans="2:7">
      <c r="B749">
        <v>944</v>
      </c>
      <c r="E749">
        <v>0.32538805599999998</v>
      </c>
      <c r="G749">
        <f t="shared" si="11"/>
        <v>944</v>
      </c>
    </row>
    <row r="750" spans="2:7">
      <c r="B750">
        <v>945</v>
      </c>
      <c r="E750">
        <v>0.32400000000000001</v>
      </c>
      <c r="G750">
        <f t="shared" si="11"/>
        <v>945</v>
      </c>
    </row>
    <row r="751" spans="2:7">
      <c r="B751">
        <v>946</v>
      </c>
      <c r="E751">
        <v>0.322383959</v>
      </c>
      <c r="G751">
        <f t="shared" si="11"/>
        <v>946</v>
      </c>
    </row>
    <row r="752" spans="2:7">
      <c r="B752">
        <v>947</v>
      </c>
      <c r="E752">
        <v>0.32077597899999999</v>
      </c>
      <c r="G752">
        <f t="shared" si="11"/>
        <v>947</v>
      </c>
    </row>
    <row r="753" spans="2:7">
      <c r="B753">
        <v>948</v>
      </c>
      <c r="E753">
        <v>0.31917601899999998</v>
      </c>
      <c r="G753">
        <f t="shared" si="11"/>
        <v>948</v>
      </c>
    </row>
    <row r="754" spans="2:7">
      <c r="B754">
        <v>949</v>
      </c>
      <c r="E754">
        <v>0.31758403899999998</v>
      </c>
      <c r="G754">
        <f t="shared" si="11"/>
        <v>949</v>
      </c>
    </row>
    <row r="755" spans="2:7">
      <c r="B755">
        <v>950</v>
      </c>
      <c r="E755">
        <v>0.316</v>
      </c>
      <c r="G755">
        <f t="shared" si="11"/>
        <v>950</v>
      </c>
    </row>
    <row r="756" spans="2:7">
      <c r="B756">
        <v>951</v>
      </c>
      <c r="E756">
        <v>0.31458742699999998</v>
      </c>
      <c r="G756">
        <f t="shared" si="11"/>
        <v>951</v>
      </c>
    </row>
    <row r="757" spans="2:7">
      <c r="B757">
        <v>952</v>
      </c>
      <c r="E757">
        <v>0.31318116899999998</v>
      </c>
      <c r="G757">
        <f t="shared" si="11"/>
        <v>952</v>
      </c>
    </row>
    <row r="758" spans="2:7">
      <c r="B758">
        <v>953</v>
      </c>
      <c r="E758">
        <v>0.31178119700000001</v>
      </c>
      <c r="G758">
        <f t="shared" si="11"/>
        <v>953</v>
      </c>
    </row>
    <row r="759" spans="2:7">
      <c r="B759">
        <v>954</v>
      </c>
      <c r="E759">
        <v>0.31038748399999999</v>
      </c>
      <c r="G759">
        <f t="shared" si="11"/>
        <v>954</v>
      </c>
    </row>
    <row r="760" spans="2:7">
      <c r="B760">
        <v>955</v>
      </c>
      <c r="E760">
        <v>0.309</v>
      </c>
      <c r="G760">
        <f t="shared" si="11"/>
        <v>955</v>
      </c>
    </row>
    <row r="761" spans="2:7">
      <c r="B761">
        <v>956</v>
      </c>
      <c r="E761">
        <v>0.30758713900000001</v>
      </c>
      <c r="G761">
        <f t="shared" si="11"/>
        <v>956</v>
      </c>
    </row>
    <row r="762" spans="2:7">
      <c r="B762">
        <v>957</v>
      </c>
      <c r="E762">
        <v>0.30618073800000001</v>
      </c>
      <c r="G762">
        <f t="shared" si="11"/>
        <v>957</v>
      </c>
    </row>
    <row r="763" spans="2:7">
      <c r="B763">
        <v>958</v>
      </c>
      <c r="E763">
        <v>0.30478076700000001</v>
      </c>
      <c r="G763">
        <f t="shared" si="11"/>
        <v>958</v>
      </c>
    </row>
    <row r="764" spans="2:7">
      <c r="B764">
        <v>959</v>
      </c>
      <c r="E764">
        <v>0.30338719800000002</v>
      </c>
      <c r="G764">
        <f t="shared" si="11"/>
        <v>959</v>
      </c>
    </row>
    <row r="765" spans="2:7">
      <c r="B765">
        <v>960</v>
      </c>
      <c r="E765">
        <v>0.30199999999999999</v>
      </c>
      <c r="G765">
        <f t="shared" si="11"/>
        <v>960</v>
      </c>
    </row>
    <row r="766" spans="2:7">
      <c r="B766">
        <v>961</v>
      </c>
      <c r="E766">
        <v>0.30058683600000002</v>
      </c>
      <c r="G766">
        <f t="shared" si="11"/>
        <v>961</v>
      </c>
    </row>
    <row r="767" spans="2:7">
      <c r="B767">
        <v>962</v>
      </c>
      <c r="E767">
        <v>0.29918028499999999</v>
      </c>
      <c r="G767">
        <f t="shared" si="11"/>
        <v>962</v>
      </c>
    </row>
    <row r="768" spans="2:7">
      <c r="B768">
        <v>963</v>
      </c>
      <c r="E768">
        <v>0.29778031599999999</v>
      </c>
      <c r="G768">
        <f t="shared" si="11"/>
        <v>963</v>
      </c>
    </row>
    <row r="769" spans="2:7">
      <c r="B769">
        <v>964</v>
      </c>
      <c r="E769">
        <v>0.29638689800000001</v>
      </c>
      <c r="G769">
        <f t="shared" si="11"/>
        <v>964</v>
      </c>
    </row>
    <row r="770" spans="2:7">
      <c r="B770">
        <v>965</v>
      </c>
      <c r="E770">
        <v>0.29499999999999998</v>
      </c>
      <c r="G770">
        <f t="shared" si="11"/>
        <v>965</v>
      </c>
    </row>
    <row r="771" spans="2:7">
      <c r="B771">
        <v>966</v>
      </c>
      <c r="E771">
        <v>0.29358651899999999</v>
      </c>
      <c r="G771">
        <f t="shared" si="11"/>
        <v>966</v>
      </c>
    </row>
    <row r="772" spans="2:7">
      <c r="B772">
        <v>967</v>
      </c>
      <c r="E772">
        <v>0.29217981199999998</v>
      </c>
      <c r="G772">
        <f t="shared" si="11"/>
        <v>967</v>
      </c>
    </row>
    <row r="773" spans="2:7">
      <c r="B773">
        <v>968</v>
      </c>
      <c r="E773">
        <v>0.29077984400000001</v>
      </c>
      <c r="G773">
        <f t="shared" si="11"/>
        <v>968</v>
      </c>
    </row>
    <row r="774" spans="2:7">
      <c r="B774">
        <v>969</v>
      </c>
      <c r="E774">
        <v>0.289386584</v>
      </c>
      <c r="G774">
        <f t="shared" ref="G774:G837" si="12">B774</f>
        <v>969</v>
      </c>
    </row>
    <row r="775" spans="2:7">
      <c r="B775">
        <v>970</v>
      </c>
      <c r="E775">
        <v>0.28799999999999998</v>
      </c>
      <c r="G775">
        <f t="shared" si="12"/>
        <v>970</v>
      </c>
    </row>
    <row r="776" spans="2:7">
      <c r="B776">
        <v>971</v>
      </c>
      <c r="E776">
        <v>0.28678987299999997</v>
      </c>
      <c r="G776">
        <f t="shared" si="12"/>
        <v>971</v>
      </c>
    </row>
    <row r="777" spans="2:7">
      <c r="B777">
        <v>972</v>
      </c>
      <c r="E777">
        <v>0.28558483099999998</v>
      </c>
      <c r="G777">
        <f t="shared" si="12"/>
        <v>972</v>
      </c>
    </row>
    <row r="778" spans="2:7">
      <c r="B778">
        <v>973</v>
      </c>
      <c r="E778">
        <v>0.28438485200000002</v>
      </c>
      <c r="G778">
        <f t="shared" si="12"/>
        <v>973</v>
      </c>
    </row>
    <row r="779" spans="2:7">
      <c r="B779">
        <v>974</v>
      </c>
      <c r="E779">
        <v>0.28318991599999999</v>
      </c>
      <c r="G779">
        <f t="shared" si="12"/>
        <v>974</v>
      </c>
    </row>
    <row r="780" spans="2:7">
      <c r="B780">
        <v>975</v>
      </c>
      <c r="E780">
        <v>0.28199999999999997</v>
      </c>
      <c r="G780">
        <f t="shared" si="12"/>
        <v>975</v>
      </c>
    </row>
    <row r="781" spans="2:7">
      <c r="B781">
        <v>976</v>
      </c>
      <c r="E781">
        <v>0.28058588899999998</v>
      </c>
      <c r="G781">
        <f t="shared" si="12"/>
        <v>976</v>
      </c>
    </row>
    <row r="782" spans="2:7">
      <c r="B782">
        <v>977</v>
      </c>
      <c r="E782">
        <v>0.27917886800000002</v>
      </c>
      <c r="G782">
        <f t="shared" si="12"/>
        <v>977</v>
      </c>
    </row>
    <row r="783" spans="2:7">
      <c r="B783">
        <v>978</v>
      </c>
      <c r="E783">
        <v>0.27777890399999999</v>
      </c>
      <c r="G783">
        <f t="shared" si="12"/>
        <v>978</v>
      </c>
    </row>
    <row r="784" spans="2:7">
      <c r="B784">
        <v>979</v>
      </c>
      <c r="E784">
        <v>0.27638595900000001</v>
      </c>
      <c r="G784">
        <f t="shared" si="12"/>
        <v>979</v>
      </c>
    </row>
    <row r="785" spans="2:7">
      <c r="B785">
        <v>980</v>
      </c>
      <c r="E785">
        <v>0.27500000000000002</v>
      </c>
      <c r="G785">
        <f t="shared" si="12"/>
        <v>980</v>
      </c>
    </row>
    <row r="786" spans="2:7">
      <c r="B786">
        <v>981</v>
      </c>
      <c r="E786">
        <v>0.27378938800000002</v>
      </c>
      <c r="G786">
        <f t="shared" si="12"/>
        <v>981</v>
      </c>
    </row>
    <row r="787" spans="2:7">
      <c r="B787">
        <v>982</v>
      </c>
      <c r="E787">
        <v>0.27258410500000002</v>
      </c>
      <c r="G787">
        <f t="shared" si="12"/>
        <v>982</v>
      </c>
    </row>
    <row r="788" spans="2:7">
      <c r="B788">
        <v>983</v>
      </c>
      <c r="E788">
        <v>0.27138412899999997</v>
      </c>
      <c r="G788">
        <f t="shared" si="12"/>
        <v>983</v>
      </c>
    </row>
    <row r="789" spans="2:7">
      <c r="B789">
        <v>984</v>
      </c>
      <c r="E789">
        <v>0.27018943499999998</v>
      </c>
      <c r="G789">
        <f t="shared" si="12"/>
        <v>984</v>
      </c>
    </row>
    <row r="790" spans="2:7">
      <c r="B790">
        <v>985</v>
      </c>
      <c r="E790">
        <v>0.26900000000000002</v>
      </c>
      <c r="G790">
        <f t="shared" si="12"/>
        <v>985</v>
      </c>
    </row>
    <row r="791" spans="2:7">
      <c r="B791">
        <v>986</v>
      </c>
      <c r="E791">
        <v>0.26778914799999998</v>
      </c>
      <c r="G791">
        <f t="shared" si="12"/>
        <v>986</v>
      </c>
    </row>
    <row r="792" spans="2:7">
      <c r="B792">
        <v>987</v>
      </c>
      <c r="E792">
        <v>0.26658374699999998</v>
      </c>
      <c r="G792">
        <f t="shared" si="12"/>
        <v>987</v>
      </c>
    </row>
    <row r="793" spans="2:7">
      <c r="B793">
        <v>988</v>
      </c>
      <c r="E793">
        <v>0.26538377099999999</v>
      </c>
      <c r="G793">
        <f t="shared" si="12"/>
        <v>988</v>
      </c>
    </row>
    <row r="794" spans="2:7">
      <c r="B794">
        <v>989</v>
      </c>
      <c r="E794">
        <v>0.26418919699999999</v>
      </c>
      <c r="G794">
        <f t="shared" si="12"/>
        <v>989</v>
      </c>
    </row>
    <row r="795" spans="2:7">
      <c r="B795">
        <v>990</v>
      </c>
      <c r="E795">
        <v>0.26300000000000001</v>
      </c>
      <c r="G795">
        <f t="shared" si="12"/>
        <v>990</v>
      </c>
    </row>
    <row r="796" spans="2:7">
      <c r="B796">
        <v>991</v>
      </c>
      <c r="E796">
        <v>0.26178889700000002</v>
      </c>
      <c r="G796">
        <f t="shared" si="12"/>
        <v>991</v>
      </c>
    </row>
    <row r="797" spans="2:7">
      <c r="B797">
        <v>992</v>
      </c>
      <c r="E797">
        <v>0.26058337100000001</v>
      </c>
      <c r="G797">
        <f t="shared" si="12"/>
        <v>992</v>
      </c>
    </row>
    <row r="798" spans="2:7">
      <c r="B798">
        <v>993</v>
      </c>
      <c r="E798">
        <v>0.25938339700000002</v>
      </c>
      <c r="G798">
        <f t="shared" si="12"/>
        <v>993</v>
      </c>
    </row>
    <row r="799" spans="2:7">
      <c r="B799">
        <v>994</v>
      </c>
      <c r="E799">
        <v>0.25818894799999997</v>
      </c>
      <c r="G799">
        <f t="shared" si="12"/>
        <v>994</v>
      </c>
    </row>
    <row r="800" spans="2:7">
      <c r="B800">
        <v>995</v>
      </c>
      <c r="E800">
        <v>0.25700000000000001</v>
      </c>
      <c r="G800">
        <f t="shared" si="12"/>
        <v>995</v>
      </c>
    </row>
    <row r="801" spans="2:7">
      <c r="B801">
        <v>996</v>
      </c>
      <c r="E801">
        <v>0.25578863400000001</v>
      </c>
      <c r="G801">
        <f t="shared" si="12"/>
        <v>996</v>
      </c>
    </row>
    <row r="802" spans="2:7">
      <c r="B802">
        <v>997</v>
      </c>
      <c r="E802">
        <v>0.25458297800000002</v>
      </c>
      <c r="G802">
        <f t="shared" si="12"/>
        <v>997</v>
      </c>
    </row>
    <row r="803" spans="2:7">
      <c r="B803">
        <v>998</v>
      </c>
      <c r="E803">
        <v>0.25338300499999999</v>
      </c>
      <c r="G803">
        <f t="shared" si="12"/>
        <v>998</v>
      </c>
    </row>
    <row r="804" spans="2:7">
      <c r="B804">
        <v>999</v>
      </c>
      <c r="E804">
        <v>0.25218868799999999</v>
      </c>
      <c r="G804">
        <f t="shared" si="12"/>
        <v>999</v>
      </c>
    </row>
    <row r="805" spans="2:7">
      <c r="B805">
        <v>1000</v>
      </c>
      <c r="E805">
        <v>0.251</v>
      </c>
      <c r="G805">
        <f t="shared" si="12"/>
        <v>1000</v>
      </c>
    </row>
    <row r="806" spans="2:7">
      <c r="B806">
        <v>1001</v>
      </c>
      <c r="E806">
        <v>0.24978835899999999</v>
      </c>
      <c r="G806">
        <f t="shared" si="12"/>
        <v>1001</v>
      </c>
    </row>
    <row r="807" spans="2:7">
      <c r="B807">
        <v>1002</v>
      </c>
      <c r="E807">
        <v>0.248582566</v>
      </c>
      <c r="G807">
        <f t="shared" si="12"/>
        <v>1002</v>
      </c>
    </row>
    <row r="808" spans="2:7">
      <c r="B808">
        <v>1003</v>
      </c>
      <c r="E808">
        <v>0.24738259400000001</v>
      </c>
      <c r="G808">
        <f t="shared" si="12"/>
        <v>1003</v>
      </c>
    </row>
    <row r="809" spans="2:7">
      <c r="B809">
        <v>1004</v>
      </c>
      <c r="E809">
        <v>0.24618841499999999</v>
      </c>
      <c r="G809">
        <f t="shared" si="12"/>
        <v>1004</v>
      </c>
    </row>
    <row r="810" spans="2:7">
      <c r="B810">
        <v>1005</v>
      </c>
      <c r="E810">
        <v>0.245</v>
      </c>
      <c r="G810">
        <f t="shared" si="12"/>
        <v>1005</v>
      </c>
    </row>
    <row r="811" spans="2:7">
      <c r="B811">
        <v>1006</v>
      </c>
      <c r="E811">
        <v>0.24399173499999999</v>
      </c>
      <c r="G811">
        <f t="shared" si="12"/>
        <v>1006</v>
      </c>
    </row>
    <row r="812" spans="2:7">
      <c r="B812">
        <v>1007</v>
      </c>
      <c r="E812">
        <v>0.24298761999999999</v>
      </c>
      <c r="G812">
        <f t="shared" si="12"/>
        <v>1007</v>
      </c>
    </row>
    <row r="813" spans="2:7">
      <c r="B813">
        <v>1008</v>
      </c>
      <c r="E813">
        <v>0.24198763700000001</v>
      </c>
      <c r="G813">
        <f t="shared" si="12"/>
        <v>1008</v>
      </c>
    </row>
    <row r="814" spans="2:7">
      <c r="B814">
        <v>1009</v>
      </c>
      <c r="E814">
        <v>0.24099176899999999</v>
      </c>
      <c r="G814">
        <f t="shared" si="12"/>
        <v>1009</v>
      </c>
    </row>
    <row r="815" spans="2:7">
      <c r="B815">
        <v>1010</v>
      </c>
      <c r="E815">
        <v>0.24</v>
      </c>
      <c r="G815">
        <f t="shared" si="12"/>
        <v>1010</v>
      </c>
    </row>
    <row r="816" spans="2:7">
      <c r="B816">
        <v>1011</v>
      </c>
      <c r="E816">
        <v>0.23878781700000001</v>
      </c>
      <c r="G816">
        <f t="shared" si="12"/>
        <v>1011</v>
      </c>
    </row>
    <row r="817" spans="2:7">
      <c r="B817">
        <v>1012</v>
      </c>
      <c r="E817">
        <v>0.23758175600000001</v>
      </c>
      <c r="G817">
        <f t="shared" si="12"/>
        <v>1012</v>
      </c>
    </row>
    <row r="818" spans="2:7">
      <c r="B818">
        <v>1013</v>
      </c>
      <c r="E818">
        <v>0.23638178700000001</v>
      </c>
      <c r="G818">
        <f t="shared" si="12"/>
        <v>1013</v>
      </c>
    </row>
    <row r="819" spans="2:7">
      <c r="B819">
        <v>1014</v>
      </c>
      <c r="E819">
        <v>0.23518787799999999</v>
      </c>
      <c r="G819">
        <f t="shared" si="12"/>
        <v>1014</v>
      </c>
    </row>
    <row r="820" spans="2:7">
      <c r="B820">
        <v>1015</v>
      </c>
      <c r="E820">
        <v>0.23400000000000001</v>
      </c>
      <c r="G820">
        <f t="shared" si="12"/>
        <v>1015</v>
      </c>
    </row>
    <row r="821" spans="2:7">
      <c r="B821">
        <v>1016</v>
      </c>
      <c r="E821">
        <v>0.23299134199999999</v>
      </c>
      <c r="G821">
        <f t="shared" si="12"/>
        <v>1016</v>
      </c>
    </row>
    <row r="822" spans="2:7">
      <c r="B822">
        <v>1017</v>
      </c>
      <c r="E822">
        <v>0.23198703100000001</v>
      </c>
      <c r="G822">
        <f t="shared" si="12"/>
        <v>1017</v>
      </c>
    </row>
    <row r="823" spans="2:7">
      <c r="B823">
        <v>1018</v>
      </c>
      <c r="E823">
        <v>0.23098705</v>
      </c>
      <c r="G823">
        <f t="shared" si="12"/>
        <v>1018</v>
      </c>
    </row>
    <row r="824" spans="2:7">
      <c r="B824">
        <v>1019</v>
      </c>
      <c r="E824">
        <v>0.229991379</v>
      </c>
      <c r="G824">
        <f t="shared" si="12"/>
        <v>1019</v>
      </c>
    </row>
    <row r="825" spans="2:7">
      <c r="B825">
        <v>1020</v>
      </c>
      <c r="E825">
        <v>0.22900000000000001</v>
      </c>
      <c r="G825">
        <f t="shared" si="12"/>
        <v>1020</v>
      </c>
    </row>
    <row r="826" spans="2:7">
      <c r="B826">
        <v>1021</v>
      </c>
      <c r="E826">
        <v>0.22799115</v>
      </c>
      <c r="G826">
        <f t="shared" si="12"/>
        <v>1021</v>
      </c>
    </row>
    <row r="827" spans="2:7">
      <c r="B827">
        <v>1022</v>
      </c>
      <c r="E827">
        <v>0.22698674499999999</v>
      </c>
      <c r="G827">
        <f t="shared" si="12"/>
        <v>1022</v>
      </c>
    </row>
    <row r="828" spans="2:7">
      <c r="B828">
        <v>1023</v>
      </c>
      <c r="E828">
        <v>0.22598676400000001</v>
      </c>
      <c r="G828">
        <f t="shared" si="12"/>
        <v>1023</v>
      </c>
    </row>
    <row r="829" spans="2:7">
      <c r="B829">
        <v>1024</v>
      </c>
      <c r="E829">
        <v>0.22499118900000001</v>
      </c>
      <c r="G829">
        <f t="shared" si="12"/>
        <v>1024</v>
      </c>
    </row>
    <row r="830" spans="2:7">
      <c r="B830">
        <v>1025</v>
      </c>
      <c r="E830">
        <v>0.224</v>
      </c>
      <c r="G830">
        <f t="shared" si="12"/>
        <v>1025</v>
      </c>
    </row>
    <row r="831" spans="2:7">
      <c r="B831">
        <v>1026</v>
      </c>
      <c r="E831">
        <v>0.22299094999999999</v>
      </c>
      <c r="G831">
        <f t="shared" si="12"/>
        <v>1026</v>
      </c>
    </row>
    <row r="832" spans="2:7">
      <c r="B832">
        <v>1027</v>
      </c>
      <c r="E832">
        <v>0.221986445</v>
      </c>
      <c r="G832">
        <f t="shared" si="12"/>
        <v>1027</v>
      </c>
    </row>
    <row r="833" spans="2:7">
      <c r="B833">
        <v>1028</v>
      </c>
      <c r="E833">
        <v>0.22098646599999999</v>
      </c>
      <c r="G833">
        <f t="shared" si="12"/>
        <v>1028</v>
      </c>
    </row>
    <row r="834" spans="2:7">
      <c r="B834">
        <v>1029</v>
      </c>
      <c r="E834">
        <v>0.219990991</v>
      </c>
      <c r="G834">
        <f t="shared" si="12"/>
        <v>1029</v>
      </c>
    </row>
    <row r="835" spans="2:7">
      <c r="B835">
        <v>1030</v>
      </c>
      <c r="E835">
        <v>0.219</v>
      </c>
      <c r="G835">
        <f t="shared" si="12"/>
        <v>1030</v>
      </c>
    </row>
    <row r="836" spans="2:7">
      <c r="B836">
        <v>1031</v>
      </c>
      <c r="E836">
        <v>0.21799073999999999</v>
      </c>
      <c r="G836">
        <f t="shared" si="12"/>
        <v>1031</v>
      </c>
    </row>
    <row r="837" spans="2:7">
      <c r="B837">
        <v>1032</v>
      </c>
      <c r="E837">
        <v>0.216986132</v>
      </c>
      <c r="G837">
        <f t="shared" si="12"/>
        <v>1032</v>
      </c>
    </row>
    <row r="838" spans="2:7">
      <c r="B838">
        <v>1033</v>
      </c>
      <c r="E838">
        <v>0.21598615299999999</v>
      </c>
      <c r="G838">
        <f t="shared" ref="G838:G901" si="13">B838</f>
        <v>1033</v>
      </c>
    </row>
    <row r="839" spans="2:7">
      <c r="B839">
        <v>1034</v>
      </c>
      <c r="E839">
        <v>0.21499078299999999</v>
      </c>
      <c r="G839">
        <f t="shared" si="13"/>
        <v>1034</v>
      </c>
    </row>
    <row r="840" spans="2:7">
      <c r="B840">
        <v>1035</v>
      </c>
      <c r="E840">
        <v>0.214</v>
      </c>
      <c r="G840">
        <f t="shared" si="13"/>
        <v>1035</v>
      </c>
    </row>
    <row r="841" spans="2:7">
      <c r="B841">
        <v>1036</v>
      </c>
      <c r="E841">
        <v>0.21299052099999999</v>
      </c>
      <c r="G841">
        <f t="shared" si="13"/>
        <v>1036</v>
      </c>
    </row>
    <row r="842" spans="2:7">
      <c r="B842">
        <v>1037</v>
      </c>
      <c r="E842">
        <v>0.211985804</v>
      </c>
      <c r="G842">
        <f t="shared" si="13"/>
        <v>1037</v>
      </c>
    </row>
    <row r="843" spans="2:7">
      <c r="B843">
        <v>1038</v>
      </c>
      <c r="E843">
        <v>0.21098582599999999</v>
      </c>
      <c r="G843">
        <f t="shared" si="13"/>
        <v>1038</v>
      </c>
    </row>
    <row r="844" spans="2:7">
      <c r="B844">
        <v>1039</v>
      </c>
      <c r="E844">
        <v>0.20999056599999999</v>
      </c>
      <c r="G844">
        <f t="shared" si="13"/>
        <v>1039</v>
      </c>
    </row>
    <row r="845" spans="2:7">
      <c r="B845">
        <v>1040</v>
      </c>
      <c r="E845">
        <v>0.20899999999999999</v>
      </c>
      <c r="G845">
        <f t="shared" si="13"/>
        <v>1040</v>
      </c>
    </row>
    <row r="846" spans="2:7">
      <c r="B846">
        <v>1041</v>
      </c>
      <c r="E846">
        <v>0.20799029099999999</v>
      </c>
      <c r="G846">
        <f t="shared" si="13"/>
        <v>1041</v>
      </c>
    </row>
    <row r="847" spans="2:7">
      <c r="B847">
        <v>1042</v>
      </c>
      <c r="E847">
        <v>0.20698546000000001</v>
      </c>
      <c r="G847">
        <f t="shared" si="13"/>
        <v>1042</v>
      </c>
    </row>
    <row r="848" spans="2:7">
      <c r="B848">
        <v>1043</v>
      </c>
      <c r="E848">
        <v>0.205985483</v>
      </c>
      <c r="G848">
        <f t="shared" si="13"/>
        <v>1043</v>
      </c>
    </row>
    <row r="849" spans="2:7">
      <c r="B849">
        <v>1044</v>
      </c>
      <c r="E849">
        <v>0.20499033799999999</v>
      </c>
      <c r="G849">
        <f t="shared" si="13"/>
        <v>1044</v>
      </c>
    </row>
    <row r="850" spans="2:7">
      <c r="B850">
        <v>1045</v>
      </c>
      <c r="E850">
        <v>0.20399999999999999</v>
      </c>
      <c r="G850">
        <f t="shared" si="13"/>
        <v>1045</v>
      </c>
    </row>
    <row r="851" spans="2:7">
      <c r="B851">
        <v>1046</v>
      </c>
      <c r="E851">
        <v>0.203193651</v>
      </c>
      <c r="G851">
        <f t="shared" si="13"/>
        <v>1046</v>
      </c>
    </row>
    <row r="852" spans="2:7">
      <c r="B852">
        <v>1047</v>
      </c>
      <c r="E852">
        <v>0.20239048900000001</v>
      </c>
      <c r="G852">
        <f t="shared" si="13"/>
        <v>1047</v>
      </c>
    </row>
    <row r="853" spans="2:7">
      <c r="B853">
        <v>1048</v>
      </c>
      <c r="E853">
        <v>0.20159050100000001</v>
      </c>
      <c r="G853">
        <f t="shared" si="13"/>
        <v>1048</v>
      </c>
    </row>
    <row r="854" spans="2:7">
      <c r="B854">
        <v>1049</v>
      </c>
      <c r="E854">
        <v>0.200793676</v>
      </c>
      <c r="G854">
        <f t="shared" si="13"/>
        <v>1049</v>
      </c>
    </row>
    <row r="855" spans="2:7">
      <c r="B855">
        <v>1050</v>
      </c>
      <c r="E855">
        <v>0.2</v>
      </c>
      <c r="G855">
        <f t="shared" si="13"/>
        <v>1050</v>
      </c>
    </row>
    <row r="856" spans="2:7">
      <c r="B856">
        <v>1051</v>
      </c>
      <c r="E856">
        <v>0.2</v>
      </c>
      <c r="G856">
        <f t="shared" si="13"/>
        <v>1051</v>
      </c>
    </row>
    <row r="857" spans="2:7">
      <c r="B857">
        <v>1052</v>
      </c>
      <c r="E857">
        <v>0.2</v>
      </c>
      <c r="G857">
        <f t="shared" si="13"/>
        <v>1052</v>
      </c>
    </row>
    <row r="858" spans="2:7">
      <c r="B858">
        <v>1053</v>
      </c>
      <c r="E858">
        <v>0.2</v>
      </c>
      <c r="G858">
        <f t="shared" si="13"/>
        <v>1053</v>
      </c>
    </row>
    <row r="859" spans="2:7">
      <c r="B859">
        <v>1054</v>
      </c>
      <c r="E859">
        <v>0.2</v>
      </c>
      <c r="G859">
        <f t="shared" si="13"/>
        <v>1054</v>
      </c>
    </row>
    <row r="860" spans="2:7">
      <c r="B860">
        <v>1055</v>
      </c>
      <c r="E860">
        <v>0.2</v>
      </c>
      <c r="G860">
        <f t="shared" si="13"/>
        <v>1055</v>
      </c>
    </row>
    <row r="861" spans="2:7">
      <c r="B861">
        <v>1056</v>
      </c>
      <c r="E861">
        <v>0.2</v>
      </c>
      <c r="G861">
        <f t="shared" si="13"/>
        <v>1056</v>
      </c>
    </row>
    <row r="862" spans="2:7">
      <c r="B862">
        <v>1057</v>
      </c>
      <c r="E862">
        <v>0.2</v>
      </c>
      <c r="G862">
        <f t="shared" si="13"/>
        <v>1057</v>
      </c>
    </row>
    <row r="863" spans="2:7">
      <c r="B863">
        <v>1058</v>
      </c>
      <c r="E863">
        <v>0.2</v>
      </c>
      <c r="G863">
        <f t="shared" si="13"/>
        <v>1058</v>
      </c>
    </row>
    <row r="864" spans="2:7">
      <c r="B864">
        <v>1059</v>
      </c>
      <c r="E864">
        <v>0.2</v>
      </c>
      <c r="G864">
        <f t="shared" si="13"/>
        <v>1059</v>
      </c>
    </row>
    <row r="865" spans="2:7">
      <c r="B865">
        <v>1060</v>
      </c>
      <c r="E865">
        <v>0.2</v>
      </c>
      <c r="G865">
        <f t="shared" si="13"/>
        <v>1060</v>
      </c>
    </row>
    <row r="866" spans="2:7">
      <c r="B866">
        <v>1061</v>
      </c>
      <c r="E866">
        <v>0.2</v>
      </c>
      <c r="G866">
        <f t="shared" si="13"/>
        <v>1061</v>
      </c>
    </row>
    <row r="867" spans="2:7">
      <c r="B867">
        <v>1062</v>
      </c>
      <c r="E867">
        <v>0.2</v>
      </c>
      <c r="G867">
        <f t="shared" si="13"/>
        <v>1062</v>
      </c>
    </row>
    <row r="868" spans="2:7">
      <c r="B868">
        <v>1063</v>
      </c>
      <c r="E868">
        <v>0.2</v>
      </c>
      <c r="G868">
        <f t="shared" si="13"/>
        <v>1063</v>
      </c>
    </row>
    <row r="869" spans="2:7">
      <c r="B869">
        <v>1064</v>
      </c>
      <c r="E869">
        <v>0.2</v>
      </c>
      <c r="G869">
        <f t="shared" si="13"/>
        <v>1064</v>
      </c>
    </row>
    <row r="870" spans="2:7">
      <c r="B870">
        <v>1065</v>
      </c>
      <c r="E870">
        <v>0.2</v>
      </c>
      <c r="G870">
        <f t="shared" si="13"/>
        <v>1065</v>
      </c>
    </row>
    <row r="871" spans="2:7">
      <c r="B871">
        <v>1066</v>
      </c>
      <c r="E871">
        <v>0.2</v>
      </c>
      <c r="G871">
        <f t="shared" si="13"/>
        <v>1066</v>
      </c>
    </row>
    <row r="872" spans="2:7">
      <c r="B872">
        <v>1067</v>
      </c>
      <c r="E872">
        <v>0.2</v>
      </c>
      <c r="G872">
        <f t="shared" si="13"/>
        <v>1067</v>
      </c>
    </row>
    <row r="873" spans="2:7">
      <c r="B873">
        <v>1068</v>
      </c>
      <c r="E873">
        <v>0.2</v>
      </c>
      <c r="G873">
        <f t="shared" si="13"/>
        <v>1068</v>
      </c>
    </row>
    <row r="874" spans="2:7">
      <c r="B874">
        <v>1069</v>
      </c>
      <c r="E874">
        <v>0.2</v>
      </c>
      <c r="G874">
        <f t="shared" si="13"/>
        <v>1069</v>
      </c>
    </row>
    <row r="875" spans="2:7">
      <c r="B875">
        <v>1070</v>
      </c>
      <c r="E875">
        <v>0.2</v>
      </c>
      <c r="G875">
        <f t="shared" si="13"/>
        <v>1070</v>
      </c>
    </row>
    <row r="876" spans="2:7">
      <c r="B876">
        <v>1071</v>
      </c>
      <c r="E876">
        <v>0.2</v>
      </c>
      <c r="G876">
        <f t="shared" si="13"/>
        <v>1071</v>
      </c>
    </row>
    <row r="877" spans="2:7">
      <c r="B877">
        <v>1072</v>
      </c>
      <c r="E877">
        <v>0.2</v>
      </c>
      <c r="G877">
        <f t="shared" si="13"/>
        <v>1072</v>
      </c>
    </row>
    <row r="878" spans="2:7">
      <c r="B878">
        <v>1073</v>
      </c>
      <c r="E878">
        <v>0.2</v>
      </c>
      <c r="G878">
        <f t="shared" si="13"/>
        <v>1073</v>
      </c>
    </row>
    <row r="879" spans="2:7">
      <c r="B879">
        <v>1074</v>
      </c>
      <c r="E879">
        <v>0.2</v>
      </c>
      <c r="G879">
        <f t="shared" si="13"/>
        <v>1074</v>
      </c>
    </row>
    <row r="880" spans="2:7">
      <c r="B880">
        <v>1075</v>
      </c>
      <c r="E880">
        <v>0.2</v>
      </c>
      <c r="G880">
        <f t="shared" si="13"/>
        <v>1075</v>
      </c>
    </row>
    <row r="881" spans="2:7">
      <c r="B881">
        <v>1076</v>
      </c>
      <c r="E881">
        <v>0.2</v>
      </c>
      <c r="G881">
        <f t="shared" si="13"/>
        <v>1076</v>
      </c>
    </row>
    <row r="882" spans="2:7">
      <c r="B882">
        <v>1077</v>
      </c>
      <c r="E882">
        <v>0.2</v>
      </c>
      <c r="G882">
        <f t="shared" si="13"/>
        <v>1077</v>
      </c>
    </row>
    <row r="883" spans="2:7">
      <c r="B883">
        <v>1078</v>
      </c>
      <c r="E883">
        <v>0.2</v>
      </c>
      <c r="G883">
        <f t="shared" si="13"/>
        <v>1078</v>
      </c>
    </row>
    <row r="884" spans="2:7">
      <c r="B884">
        <v>1079</v>
      </c>
      <c r="E884">
        <v>0.2</v>
      </c>
      <c r="G884">
        <f t="shared" si="13"/>
        <v>1079</v>
      </c>
    </row>
    <row r="885" spans="2:7">
      <c r="B885">
        <v>1080</v>
      </c>
      <c r="E885">
        <v>0.2</v>
      </c>
      <c r="G885">
        <f t="shared" si="13"/>
        <v>1080</v>
      </c>
    </row>
    <row r="886" spans="2:7">
      <c r="B886">
        <v>1081</v>
      </c>
      <c r="E886">
        <v>0.2</v>
      </c>
      <c r="G886">
        <f t="shared" si="13"/>
        <v>1081</v>
      </c>
    </row>
    <row r="887" spans="2:7">
      <c r="B887">
        <v>1082</v>
      </c>
      <c r="E887">
        <v>0.2</v>
      </c>
      <c r="G887">
        <f t="shared" si="13"/>
        <v>1082</v>
      </c>
    </row>
    <row r="888" spans="2:7">
      <c r="B888">
        <v>1083</v>
      </c>
      <c r="E888">
        <v>0.2</v>
      </c>
      <c r="G888">
        <f t="shared" si="13"/>
        <v>1083</v>
      </c>
    </row>
    <row r="889" spans="2:7">
      <c r="B889">
        <v>1084</v>
      </c>
      <c r="E889">
        <v>0.2</v>
      </c>
      <c r="G889">
        <f t="shared" si="13"/>
        <v>1084</v>
      </c>
    </row>
    <row r="890" spans="2:7">
      <c r="B890">
        <v>1085</v>
      </c>
      <c r="E890">
        <v>0.2</v>
      </c>
      <c r="G890">
        <f t="shared" si="13"/>
        <v>1085</v>
      </c>
    </row>
    <row r="891" spans="2:7">
      <c r="B891">
        <v>1086</v>
      </c>
      <c r="E891">
        <v>0.2</v>
      </c>
      <c r="G891">
        <f t="shared" si="13"/>
        <v>1086</v>
      </c>
    </row>
    <row r="892" spans="2:7">
      <c r="B892">
        <v>1087</v>
      </c>
      <c r="E892">
        <v>0.2</v>
      </c>
      <c r="G892">
        <f t="shared" si="13"/>
        <v>1087</v>
      </c>
    </row>
    <row r="893" spans="2:7">
      <c r="B893">
        <v>1088</v>
      </c>
      <c r="E893">
        <v>0.2</v>
      </c>
      <c r="G893">
        <f t="shared" si="13"/>
        <v>1088</v>
      </c>
    </row>
    <row r="894" spans="2:7">
      <c r="B894">
        <v>1089</v>
      </c>
      <c r="E894">
        <v>0.2</v>
      </c>
      <c r="G894">
        <f t="shared" si="13"/>
        <v>1089</v>
      </c>
    </row>
    <row r="895" spans="2:7">
      <c r="B895">
        <v>1090</v>
      </c>
      <c r="E895">
        <v>0.2</v>
      </c>
      <c r="G895">
        <f t="shared" si="13"/>
        <v>1090</v>
      </c>
    </row>
    <row r="896" spans="2:7">
      <c r="B896">
        <v>1091</v>
      </c>
      <c r="E896">
        <v>0.2</v>
      </c>
      <c r="G896">
        <f t="shared" si="13"/>
        <v>1091</v>
      </c>
    </row>
    <row r="897" spans="2:7">
      <c r="B897">
        <v>1092</v>
      </c>
      <c r="E897">
        <v>0.2</v>
      </c>
      <c r="G897">
        <f t="shared" si="13"/>
        <v>1092</v>
      </c>
    </row>
    <row r="898" spans="2:7">
      <c r="B898">
        <v>1093</v>
      </c>
      <c r="E898">
        <v>0.2</v>
      </c>
      <c r="G898">
        <f t="shared" si="13"/>
        <v>1093</v>
      </c>
    </row>
    <row r="899" spans="2:7">
      <c r="B899">
        <v>1094</v>
      </c>
      <c r="E899">
        <v>0.2</v>
      </c>
      <c r="G899">
        <f t="shared" si="13"/>
        <v>1094</v>
      </c>
    </row>
    <row r="900" spans="2:7">
      <c r="B900">
        <v>1095</v>
      </c>
      <c r="E900">
        <v>0.2</v>
      </c>
      <c r="G900">
        <f t="shared" si="13"/>
        <v>1095</v>
      </c>
    </row>
    <row r="901" spans="2:7">
      <c r="B901">
        <v>1096</v>
      </c>
      <c r="E901">
        <v>0.2</v>
      </c>
      <c r="G901">
        <f t="shared" si="13"/>
        <v>1096</v>
      </c>
    </row>
    <row r="902" spans="2:7">
      <c r="B902">
        <v>1097</v>
      </c>
      <c r="E902">
        <v>0.2</v>
      </c>
      <c r="G902">
        <f t="shared" ref="G902:G965" si="14">B902</f>
        <v>1097</v>
      </c>
    </row>
    <row r="903" spans="2:7">
      <c r="B903">
        <v>1098</v>
      </c>
      <c r="E903">
        <v>0.2</v>
      </c>
      <c r="G903">
        <f t="shared" si="14"/>
        <v>1098</v>
      </c>
    </row>
    <row r="904" spans="2:7">
      <c r="B904">
        <v>1099</v>
      </c>
      <c r="E904">
        <v>0.2</v>
      </c>
      <c r="G904">
        <f t="shared" si="14"/>
        <v>1099</v>
      </c>
    </row>
    <row r="905" spans="2:7">
      <c r="B905">
        <v>1100</v>
      </c>
      <c r="E905">
        <v>0.2</v>
      </c>
      <c r="G905">
        <f t="shared" si="14"/>
        <v>1100</v>
      </c>
    </row>
    <row r="906" spans="2:7">
      <c r="B906">
        <v>1101</v>
      </c>
      <c r="E906">
        <v>0.2</v>
      </c>
      <c r="G906">
        <f t="shared" si="14"/>
        <v>1101</v>
      </c>
    </row>
    <row r="907" spans="2:7">
      <c r="B907">
        <v>1102</v>
      </c>
      <c r="E907">
        <v>0.2</v>
      </c>
      <c r="G907">
        <f t="shared" si="14"/>
        <v>1102</v>
      </c>
    </row>
    <row r="908" spans="2:7">
      <c r="B908">
        <v>1103</v>
      </c>
      <c r="E908">
        <v>0.2</v>
      </c>
      <c r="G908">
        <f t="shared" si="14"/>
        <v>1103</v>
      </c>
    </row>
    <row r="909" spans="2:7">
      <c r="B909">
        <v>1104</v>
      </c>
      <c r="E909">
        <v>0.2</v>
      </c>
      <c r="G909">
        <f t="shared" si="14"/>
        <v>1104</v>
      </c>
    </row>
    <row r="910" spans="2:7">
      <c r="B910">
        <v>1105</v>
      </c>
      <c r="E910">
        <v>0.2</v>
      </c>
      <c r="G910">
        <f t="shared" si="14"/>
        <v>1105</v>
      </c>
    </row>
    <row r="911" spans="2:7">
      <c r="B911">
        <v>1106</v>
      </c>
      <c r="E911">
        <v>0.2</v>
      </c>
      <c r="G911">
        <f t="shared" si="14"/>
        <v>1106</v>
      </c>
    </row>
    <row r="912" spans="2:7">
      <c r="B912">
        <v>1107</v>
      </c>
      <c r="E912">
        <v>0.2</v>
      </c>
      <c r="G912">
        <f t="shared" si="14"/>
        <v>1107</v>
      </c>
    </row>
    <row r="913" spans="2:7">
      <c r="B913">
        <v>1108</v>
      </c>
      <c r="E913">
        <v>0.2</v>
      </c>
      <c r="G913">
        <f t="shared" si="14"/>
        <v>1108</v>
      </c>
    </row>
    <row r="914" spans="2:7">
      <c r="B914">
        <v>1109</v>
      </c>
      <c r="E914">
        <v>0.2</v>
      </c>
      <c r="G914">
        <f t="shared" si="14"/>
        <v>1109</v>
      </c>
    </row>
    <row r="915" spans="2:7">
      <c r="B915">
        <v>1110</v>
      </c>
      <c r="E915">
        <v>0.2</v>
      </c>
      <c r="G915">
        <f t="shared" si="14"/>
        <v>1110</v>
      </c>
    </row>
    <row r="916" spans="2:7">
      <c r="B916">
        <v>1111</v>
      </c>
      <c r="E916">
        <v>0.2</v>
      </c>
      <c r="G916">
        <f t="shared" si="14"/>
        <v>1111</v>
      </c>
    </row>
    <row r="917" spans="2:7">
      <c r="B917">
        <v>1112</v>
      </c>
      <c r="E917">
        <v>0.2</v>
      </c>
      <c r="G917">
        <f t="shared" si="14"/>
        <v>1112</v>
      </c>
    </row>
    <row r="918" spans="2:7">
      <c r="B918">
        <v>1113</v>
      </c>
      <c r="E918">
        <v>0.2</v>
      </c>
      <c r="G918">
        <f t="shared" si="14"/>
        <v>1113</v>
      </c>
    </row>
    <row r="919" spans="2:7">
      <c r="B919">
        <v>1114</v>
      </c>
      <c r="E919">
        <v>0.2</v>
      </c>
      <c r="G919">
        <f t="shared" si="14"/>
        <v>1114</v>
      </c>
    </row>
    <row r="920" spans="2:7">
      <c r="B920">
        <v>1115</v>
      </c>
      <c r="E920">
        <v>0.2</v>
      </c>
      <c r="G920">
        <f t="shared" si="14"/>
        <v>1115</v>
      </c>
    </row>
    <row r="921" spans="2:7">
      <c r="B921">
        <v>1116</v>
      </c>
      <c r="E921">
        <v>0.2</v>
      </c>
      <c r="G921">
        <f t="shared" si="14"/>
        <v>1116</v>
      </c>
    </row>
    <row r="922" spans="2:7">
      <c r="B922">
        <v>1117</v>
      </c>
      <c r="E922">
        <v>0.2</v>
      </c>
      <c r="G922">
        <f t="shared" si="14"/>
        <v>1117</v>
      </c>
    </row>
    <row r="923" spans="2:7">
      <c r="B923">
        <v>1118</v>
      </c>
      <c r="E923">
        <v>0.2</v>
      </c>
      <c r="G923">
        <f t="shared" si="14"/>
        <v>1118</v>
      </c>
    </row>
    <row r="924" spans="2:7">
      <c r="B924">
        <v>1119</v>
      </c>
      <c r="E924">
        <v>0.2</v>
      </c>
      <c r="G924">
        <f t="shared" si="14"/>
        <v>1119</v>
      </c>
    </row>
    <row r="925" spans="2:7">
      <c r="B925">
        <v>1120</v>
      </c>
      <c r="E925">
        <v>0.2</v>
      </c>
      <c r="G925">
        <f t="shared" si="14"/>
        <v>1120</v>
      </c>
    </row>
    <row r="926" spans="2:7">
      <c r="B926">
        <v>1121</v>
      </c>
      <c r="E926">
        <v>0.2</v>
      </c>
      <c r="G926">
        <f t="shared" si="14"/>
        <v>1121</v>
      </c>
    </row>
    <row r="927" spans="2:7">
      <c r="B927">
        <v>1122</v>
      </c>
      <c r="E927">
        <v>0.2</v>
      </c>
      <c r="G927">
        <f t="shared" si="14"/>
        <v>1122</v>
      </c>
    </row>
    <row r="928" spans="2:7">
      <c r="B928">
        <v>1123</v>
      </c>
      <c r="E928">
        <v>0.2</v>
      </c>
      <c r="G928">
        <f t="shared" si="14"/>
        <v>1123</v>
      </c>
    </row>
    <row r="929" spans="2:7">
      <c r="B929">
        <v>1124</v>
      </c>
      <c r="E929">
        <v>0.2</v>
      </c>
      <c r="G929">
        <f t="shared" si="14"/>
        <v>1124</v>
      </c>
    </row>
    <row r="930" spans="2:7">
      <c r="B930">
        <v>1125</v>
      </c>
      <c r="E930">
        <v>0.2</v>
      </c>
      <c r="G930">
        <f t="shared" si="14"/>
        <v>1125</v>
      </c>
    </row>
    <row r="931" spans="2:7">
      <c r="B931">
        <v>1126</v>
      </c>
      <c r="E931">
        <v>0.2</v>
      </c>
      <c r="G931">
        <f t="shared" si="14"/>
        <v>1126</v>
      </c>
    </row>
    <row r="932" spans="2:7">
      <c r="B932">
        <v>1127</v>
      </c>
      <c r="E932">
        <v>0.2</v>
      </c>
      <c r="G932">
        <f t="shared" si="14"/>
        <v>1127</v>
      </c>
    </row>
    <row r="933" spans="2:7">
      <c r="B933">
        <v>1128</v>
      </c>
      <c r="E933">
        <v>0.2</v>
      </c>
      <c r="G933">
        <f t="shared" si="14"/>
        <v>1128</v>
      </c>
    </row>
    <row r="934" spans="2:7">
      <c r="B934">
        <v>1129</v>
      </c>
      <c r="E934">
        <v>0.2</v>
      </c>
      <c r="G934">
        <f t="shared" si="14"/>
        <v>1129</v>
      </c>
    </row>
    <row r="935" spans="2:7">
      <c r="B935">
        <v>1130</v>
      </c>
      <c r="E935">
        <v>0.2</v>
      </c>
      <c r="G935">
        <f t="shared" si="14"/>
        <v>1130</v>
      </c>
    </row>
    <row r="936" spans="2:7">
      <c r="B936">
        <v>1131</v>
      </c>
      <c r="E936">
        <v>0.2</v>
      </c>
      <c r="G936">
        <f t="shared" si="14"/>
        <v>1131</v>
      </c>
    </row>
    <row r="937" spans="2:7">
      <c r="B937">
        <v>1132</v>
      </c>
      <c r="E937">
        <v>0.2</v>
      </c>
      <c r="G937">
        <f t="shared" si="14"/>
        <v>1132</v>
      </c>
    </row>
    <row r="938" spans="2:7">
      <c r="B938">
        <v>1133</v>
      </c>
      <c r="E938">
        <v>0.2</v>
      </c>
      <c r="G938">
        <f t="shared" si="14"/>
        <v>1133</v>
      </c>
    </row>
    <row r="939" spans="2:7">
      <c r="B939">
        <v>1134</v>
      </c>
      <c r="E939">
        <v>0.2</v>
      </c>
      <c r="G939">
        <f t="shared" si="14"/>
        <v>1134</v>
      </c>
    </row>
    <row r="940" spans="2:7">
      <c r="B940">
        <v>1135</v>
      </c>
      <c r="E940">
        <v>0.2</v>
      </c>
      <c r="G940">
        <f t="shared" si="14"/>
        <v>1135</v>
      </c>
    </row>
    <row r="941" spans="2:7">
      <c r="B941">
        <v>1136</v>
      </c>
      <c r="E941">
        <v>0.2</v>
      </c>
      <c r="G941">
        <f t="shared" si="14"/>
        <v>1136</v>
      </c>
    </row>
    <row r="942" spans="2:7">
      <c r="B942">
        <v>1137</v>
      </c>
      <c r="E942">
        <v>0.2</v>
      </c>
      <c r="G942">
        <f t="shared" si="14"/>
        <v>1137</v>
      </c>
    </row>
    <row r="943" spans="2:7">
      <c r="B943">
        <v>1138</v>
      </c>
      <c r="E943">
        <v>0.2</v>
      </c>
      <c r="G943">
        <f t="shared" si="14"/>
        <v>1138</v>
      </c>
    </row>
    <row r="944" spans="2:7">
      <c r="B944">
        <v>1139</v>
      </c>
      <c r="E944">
        <v>0.2</v>
      </c>
      <c r="G944">
        <f t="shared" si="14"/>
        <v>1139</v>
      </c>
    </row>
    <row r="945" spans="2:7">
      <c r="B945">
        <v>1140</v>
      </c>
      <c r="E945">
        <v>0.2</v>
      </c>
      <c r="G945">
        <f t="shared" si="14"/>
        <v>1140</v>
      </c>
    </row>
    <row r="946" spans="2:7">
      <c r="B946">
        <v>1141</v>
      </c>
      <c r="E946">
        <v>0.2</v>
      </c>
      <c r="G946">
        <f t="shared" si="14"/>
        <v>1141</v>
      </c>
    </row>
    <row r="947" spans="2:7">
      <c r="B947">
        <v>1142</v>
      </c>
      <c r="E947">
        <v>0.2</v>
      </c>
      <c r="G947">
        <f t="shared" si="14"/>
        <v>1142</v>
      </c>
    </row>
    <row r="948" spans="2:7">
      <c r="B948">
        <v>1143</v>
      </c>
      <c r="E948">
        <v>0.2</v>
      </c>
      <c r="G948">
        <f t="shared" si="14"/>
        <v>1143</v>
      </c>
    </row>
    <row r="949" spans="2:7">
      <c r="B949">
        <v>1144</v>
      </c>
      <c r="E949">
        <v>0.2</v>
      </c>
      <c r="G949">
        <f t="shared" si="14"/>
        <v>1144</v>
      </c>
    </row>
    <row r="950" spans="2:7">
      <c r="B950">
        <v>1145</v>
      </c>
      <c r="E950">
        <v>0.2</v>
      </c>
      <c r="G950">
        <f t="shared" si="14"/>
        <v>1145</v>
      </c>
    </row>
    <row r="951" spans="2:7">
      <c r="B951">
        <v>1146</v>
      </c>
      <c r="E951">
        <v>0.2</v>
      </c>
      <c r="G951">
        <f t="shared" si="14"/>
        <v>1146</v>
      </c>
    </row>
    <row r="952" spans="2:7">
      <c r="B952">
        <v>1147</v>
      </c>
      <c r="E952">
        <v>0.2</v>
      </c>
      <c r="G952">
        <f t="shared" si="14"/>
        <v>1147</v>
      </c>
    </row>
    <row r="953" spans="2:7">
      <c r="B953">
        <v>1148</v>
      </c>
      <c r="E953">
        <v>0.2</v>
      </c>
      <c r="G953">
        <f t="shared" si="14"/>
        <v>1148</v>
      </c>
    </row>
    <row r="954" spans="2:7">
      <c r="B954">
        <v>1149</v>
      </c>
      <c r="E954">
        <v>0.2</v>
      </c>
      <c r="G954">
        <f t="shared" si="14"/>
        <v>1149</v>
      </c>
    </row>
    <row r="955" spans="2:7">
      <c r="B955">
        <v>1150</v>
      </c>
      <c r="E955">
        <v>0.2</v>
      </c>
      <c r="G955">
        <f t="shared" si="14"/>
        <v>1150</v>
      </c>
    </row>
    <row r="956" spans="2:7">
      <c r="B956">
        <v>1151</v>
      </c>
      <c r="E956">
        <v>0.19103081199999999</v>
      </c>
      <c r="G956">
        <f t="shared" si="14"/>
        <v>1151</v>
      </c>
    </row>
    <row r="957" spans="2:7">
      <c r="B957">
        <v>1152</v>
      </c>
      <c r="E957">
        <v>0.18246385500000001</v>
      </c>
      <c r="G957">
        <f t="shared" si="14"/>
        <v>1152</v>
      </c>
    </row>
    <row r="958" spans="2:7">
      <c r="B958">
        <v>1153</v>
      </c>
      <c r="E958">
        <v>0.174281092</v>
      </c>
      <c r="G958">
        <f t="shared" si="14"/>
        <v>1153</v>
      </c>
    </row>
    <row r="959" spans="2:7">
      <c r="B959">
        <v>1154</v>
      </c>
      <c r="E959">
        <v>0.16646529299999999</v>
      </c>
      <c r="G959">
        <f t="shared" si="14"/>
        <v>1154</v>
      </c>
    </row>
    <row r="960" spans="2:7">
      <c r="B960">
        <v>1155</v>
      </c>
      <c r="E960">
        <v>0.159</v>
      </c>
      <c r="G960">
        <f t="shared" si="14"/>
        <v>1155</v>
      </c>
    </row>
    <row r="961" spans="2:7">
      <c r="B961">
        <v>1156</v>
      </c>
      <c r="E961">
        <v>0.15177205299999999</v>
      </c>
      <c r="G961">
        <f t="shared" si="14"/>
        <v>1156</v>
      </c>
    </row>
    <row r="962" spans="2:7">
      <c r="B962">
        <v>1157</v>
      </c>
      <c r="E962">
        <v>0.144872679</v>
      </c>
      <c r="G962">
        <f t="shared" si="14"/>
        <v>1157</v>
      </c>
    </row>
    <row r="963" spans="2:7">
      <c r="B963">
        <v>1158</v>
      </c>
      <c r="E963">
        <v>0.138286943</v>
      </c>
      <c r="G963">
        <f t="shared" si="14"/>
        <v>1158</v>
      </c>
    </row>
    <row r="964" spans="2:7">
      <c r="B964">
        <v>1159</v>
      </c>
      <c r="E964">
        <v>0.132000587</v>
      </c>
      <c r="G964">
        <f t="shared" si="14"/>
        <v>1159</v>
      </c>
    </row>
    <row r="965" spans="2:7">
      <c r="B965">
        <v>1160</v>
      </c>
      <c r="E965">
        <v>0.126</v>
      </c>
      <c r="G965">
        <f t="shared" si="14"/>
        <v>1160</v>
      </c>
    </row>
    <row r="966" spans="2:7">
      <c r="B966">
        <v>1161</v>
      </c>
      <c r="E966">
        <v>0.12030853399999999</v>
      </c>
      <c r="G966">
        <f t="shared" ref="G966:G1029" si="15">B966</f>
        <v>1161</v>
      </c>
    </row>
    <row r="967" spans="2:7">
      <c r="B967">
        <v>1162</v>
      </c>
      <c r="E967">
        <v>0.11487415400000001</v>
      </c>
      <c r="G967">
        <f t="shared" si="15"/>
        <v>1162</v>
      </c>
    </row>
    <row r="968" spans="2:7">
      <c r="B968">
        <v>1163</v>
      </c>
      <c r="E968">
        <v>0.109685247</v>
      </c>
      <c r="G968">
        <f t="shared" si="15"/>
        <v>1163</v>
      </c>
    </row>
    <row r="969" spans="2:7">
      <c r="B969">
        <v>1164</v>
      </c>
      <c r="E969">
        <v>0.104730725</v>
      </c>
      <c r="G969">
        <f t="shared" si="15"/>
        <v>1164</v>
      </c>
    </row>
    <row r="970" spans="2:7">
      <c r="B970">
        <v>1165</v>
      </c>
      <c r="E970">
        <v>0.1</v>
      </c>
      <c r="G970">
        <f t="shared" si="15"/>
        <v>1165</v>
      </c>
    </row>
    <row r="971" spans="2:7">
      <c r="B971">
        <v>1166</v>
      </c>
      <c r="E971">
        <v>9.5635250000000005E-2</v>
      </c>
      <c r="G971">
        <f t="shared" si="15"/>
        <v>1166</v>
      </c>
    </row>
    <row r="972" spans="2:7">
      <c r="B972">
        <v>1167</v>
      </c>
      <c r="E972">
        <v>9.1461009999999995E-2</v>
      </c>
      <c r="G972">
        <f t="shared" si="15"/>
        <v>1167</v>
      </c>
    </row>
    <row r="973" spans="2:7">
      <c r="B973">
        <v>1168</v>
      </c>
      <c r="E973">
        <v>8.7468965999999995E-2</v>
      </c>
      <c r="G973">
        <f t="shared" si="15"/>
        <v>1168</v>
      </c>
    </row>
    <row r="974" spans="2:7">
      <c r="B974">
        <v>1169</v>
      </c>
      <c r="E974">
        <v>8.3651164E-2</v>
      </c>
      <c r="G974">
        <f t="shared" si="15"/>
        <v>1169</v>
      </c>
    </row>
    <row r="975" spans="2:7">
      <c r="B975">
        <v>1170</v>
      </c>
      <c r="E975">
        <v>0.08</v>
      </c>
      <c r="G975">
        <f t="shared" si="15"/>
        <v>1170</v>
      </c>
    </row>
    <row r="976" spans="2:7">
      <c r="B976">
        <v>1171</v>
      </c>
      <c r="E976">
        <v>7.6267603000000003E-2</v>
      </c>
      <c r="G976">
        <f t="shared" si="15"/>
        <v>1171</v>
      </c>
    </row>
    <row r="977" spans="2:7">
      <c r="B977">
        <v>1172</v>
      </c>
      <c r="E977">
        <v>7.2709341999999996E-2</v>
      </c>
      <c r="G977">
        <f t="shared" si="15"/>
        <v>1172</v>
      </c>
    </row>
    <row r="978" spans="2:7">
      <c r="B978">
        <v>1173</v>
      </c>
      <c r="E978">
        <v>6.9317089999999998E-2</v>
      </c>
      <c r="G978">
        <f t="shared" si="15"/>
        <v>1173</v>
      </c>
    </row>
    <row r="979" spans="2:7">
      <c r="B979">
        <v>1174</v>
      </c>
      <c r="E979">
        <v>6.6083104000000004E-2</v>
      </c>
      <c r="G979">
        <f t="shared" si="15"/>
        <v>1174</v>
      </c>
    </row>
    <row r="980" spans="2:7">
      <c r="B980">
        <v>1175</v>
      </c>
      <c r="E980">
        <v>6.3E-2</v>
      </c>
      <c r="G980">
        <f t="shared" si="15"/>
        <v>1175</v>
      </c>
    </row>
    <row r="981" spans="2:7">
      <c r="B981">
        <v>1176</v>
      </c>
      <c r="E981">
        <v>6.0154266999999997E-2</v>
      </c>
      <c r="G981">
        <f t="shared" si="15"/>
        <v>1176</v>
      </c>
    </row>
    <row r="982" spans="2:7">
      <c r="B982">
        <v>1177</v>
      </c>
      <c r="E982">
        <v>5.7437077000000003E-2</v>
      </c>
      <c r="G982">
        <f t="shared" si="15"/>
        <v>1177</v>
      </c>
    </row>
    <row r="983" spans="2:7">
      <c r="B983">
        <v>1178</v>
      </c>
      <c r="E983">
        <v>5.4842624E-2</v>
      </c>
      <c r="G983">
        <f t="shared" si="15"/>
        <v>1178</v>
      </c>
    </row>
    <row r="984" spans="2:7">
      <c r="B984">
        <v>1179</v>
      </c>
      <c r="E984">
        <v>5.2365361999999999E-2</v>
      </c>
      <c r="G984">
        <f t="shared" si="15"/>
        <v>1179</v>
      </c>
    </row>
    <row r="985" spans="2:7">
      <c r="B985">
        <v>1180</v>
      </c>
      <c r="E985">
        <v>0.05</v>
      </c>
      <c r="G985">
        <f t="shared" si="15"/>
        <v>1180</v>
      </c>
    </row>
    <row r="986" spans="2:7">
      <c r="B986">
        <v>1181</v>
      </c>
      <c r="E986">
        <v>4.7817625000000002E-2</v>
      </c>
      <c r="G986">
        <f t="shared" si="15"/>
        <v>1181</v>
      </c>
    </row>
    <row r="987" spans="2:7">
      <c r="B987">
        <v>1182</v>
      </c>
      <c r="E987">
        <v>4.5730504999999998E-2</v>
      </c>
      <c r="G987">
        <f t="shared" si="15"/>
        <v>1182</v>
      </c>
    </row>
    <row r="988" spans="2:7">
      <c r="B988">
        <v>1183</v>
      </c>
      <c r="E988">
        <v>4.3734482999999998E-2</v>
      </c>
      <c r="G988">
        <f t="shared" si="15"/>
        <v>1183</v>
      </c>
    </row>
    <row r="989" spans="2:7">
      <c r="B989">
        <v>1184</v>
      </c>
      <c r="E989">
        <v>4.1825582E-2</v>
      </c>
      <c r="G989">
        <f t="shared" si="15"/>
        <v>1184</v>
      </c>
    </row>
    <row r="990" spans="2:7">
      <c r="B990">
        <v>1185</v>
      </c>
      <c r="E990">
        <v>0.04</v>
      </c>
      <c r="G990">
        <f t="shared" si="15"/>
        <v>1185</v>
      </c>
    </row>
    <row r="991" spans="2:7">
      <c r="B991">
        <v>1186</v>
      </c>
      <c r="E991">
        <v>3.8254099999999999E-2</v>
      </c>
      <c r="G991">
        <f t="shared" si="15"/>
        <v>1186</v>
      </c>
    </row>
    <row r="992" spans="2:7">
      <c r="B992">
        <v>1187</v>
      </c>
      <c r="E992">
        <v>3.6584404000000001E-2</v>
      </c>
      <c r="G992">
        <f t="shared" si="15"/>
        <v>1187</v>
      </c>
    </row>
    <row r="993" spans="2:7">
      <c r="B993">
        <v>1188</v>
      </c>
      <c r="E993">
        <v>3.4987586000000001E-2</v>
      </c>
      <c r="G993">
        <f t="shared" si="15"/>
        <v>1188</v>
      </c>
    </row>
    <row r="994" spans="2:7">
      <c r="B994">
        <v>1189</v>
      </c>
      <c r="E994">
        <v>3.3460466000000001E-2</v>
      </c>
      <c r="G994">
        <f t="shared" si="15"/>
        <v>1189</v>
      </c>
    </row>
    <row r="995" spans="2:7">
      <c r="B995">
        <v>1190</v>
      </c>
      <c r="E995">
        <v>3.2000000000000001E-2</v>
      </c>
      <c r="G995">
        <f t="shared" si="15"/>
        <v>1190</v>
      </c>
    </row>
    <row r="996" spans="2:7">
      <c r="B996">
        <v>1191</v>
      </c>
      <c r="E996">
        <v>3.0458463000000002E-2</v>
      </c>
      <c r="G996">
        <f t="shared" si="15"/>
        <v>1191</v>
      </c>
    </row>
    <row r="997" spans="2:7">
      <c r="B997">
        <v>1192</v>
      </c>
      <c r="E997">
        <v>2.8991187000000002E-2</v>
      </c>
      <c r="G997">
        <f t="shared" si="15"/>
        <v>1192</v>
      </c>
    </row>
    <row r="998" spans="2:7">
      <c r="B998">
        <v>1193</v>
      </c>
      <c r="E998">
        <v>2.7594593000000001E-2</v>
      </c>
      <c r="G998">
        <f t="shared" si="15"/>
        <v>1193</v>
      </c>
    </row>
    <row r="999" spans="2:7">
      <c r="B999">
        <v>1194</v>
      </c>
      <c r="E999">
        <v>2.6265278E-2</v>
      </c>
      <c r="G999">
        <f t="shared" si="15"/>
        <v>1194</v>
      </c>
    </row>
    <row r="1000" spans="2:7">
      <c r="B1000">
        <v>1195</v>
      </c>
      <c r="E1000">
        <v>2.5000000000000001E-2</v>
      </c>
      <c r="G1000">
        <f t="shared" si="15"/>
        <v>1195</v>
      </c>
    </row>
    <row r="1001" spans="2:7">
      <c r="B1001">
        <v>1196</v>
      </c>
      <c r="E1001">
        <v>2.3908812000000002E-2</v>
      </c>
      <c r="G1001">
        <f t="shared" si="15"/>
        <v>1196</v>
      </c>
    </row>
    <row r="1002" spans="2:7">
      <c r="B1002">
        <v>1197</v>
      </c>
      <c r="E1002">
        <v>2.2865252999999999E-2</v>
      </c>
      <c r="G1002">
        <f t="shared" si="15"/>
        <v>1197</v>
      </c>
    </row>
    <row r="1003" spans="2:7">
      <c r="B1003">
        <v>1198</v>
      </c>
      <c r="E1003">
        <v>2.1867240999999999E-2</v>
      </c>
      <c r="G1003">
        <f t="shared" si="15"/>
        <v>1198</v>
      </c>
    </row>
    <row r="1004" spans="2:7">
      <c r="B1004">
        <v>1199</v>
      </c>
      <c r="E1004">
        <v>2.0912791E-2</v>
      </c>
      <c r="G1004">
        <f t="shared" si="15"/>
        <v>1199</v>
      </c>
    </row>
    <row r="1005" spans="2:7">
      <c r="B1005">
        <v>1200</v>
      </c>
      <c r="E1005">
        <v>0.02</v>
      </c>
      <c r="G1005">
        <f t="shared" si="15"/>
        <v>1200</v>
      </c>
    </row>
    <row r="1006" spans="2:7">
      <c r="B1006">
        <v>1201</v>
      </c>
      <c r="E1006">
        <v>0.02</v>
      </c>
      <c r="G1006">
        <f t="shared" si="15"/>
        <v>1201</v>
      </c>
    </row>
    <row r="1007" spans="2:7">
      <c r="B1007">
        <v>1202</v>
      </c>
      <c r="E1007">
        <v>0.02</v>
      </c>
      <c r="G1007">
        <f t="shared" si="15"/>
        <v>1202</v>
      </c>
    </row>
    <row r="1008" spans="2:7">
      <c r="B1008">
        <v>1203</v>
      </c>
      <c r="E1008">
        <v>0.02</v>
      </c>
      <c r="G1008">
        <f t="shared" si="15"/>
        <v>1203</v>
      </c>
    </row>
    <row r="1009" spans="2:7">
      <c r="B1009">
        <v>1204</v>
      </c>
      <c r="E1009">
        <v>0.02</v>
      </c>
      <c r="G1009">
        <f t="shared" si="15"/>
        <v>1204</v>
      </c>
    </row>
    <row r="1010" spans="2:7">
      <c r="B1010">
        <v>1205</v>
      </c>
      <c r="E1010">
        <v>0.02</v>
      </c>
      <c r="G1010">
        <f t="shared" si="15"/>
        <v>1205</v>
      </c>
    </row>
    <row r="1011" spans="2:7">
      <c r="B1011">
        <v>1206</v>
      </c>
      <c r="E1011">
        <v>0.02</v>
      </c>
      <c r="G1011">
        <f t="shared" si="15"/>
        <v>1206</v>
      </c>
    </row>
    <row r="1012" spans="2:7">
      <c r="B1012">
        <v>1207</v>
      </c>
      <c r="E1012">
        <v>0.02</v>
      </c>
      <c r="G1012">
        <f t="shared" si="15"/>
        <v>1207</v>
      </c>
    </row>
    <row r="1013" spans="2:7">
      <c r="B1013">
        <v>1208</v>
      </c>
      <c r="E1013">
        <v>0.02</v>
      </c>
      <c r="G1013">
        <f t="shared" si="15"/>
        <v>1208</v>
      </c>
    </row>
    <row r="1014" spans="2:7">
      <c r="B1014">
        <v>1209</v>
      </c>
      <c r="E1014">
        <v>0.02</v>
      </c>
      <c r="G1014">
        <f t="shared" si="15"/>
        <v>1209</v>
      </c>
    </row>
    <row r="1015" spans="2:7">
      <c r="B1015">
        <v>1210</v>
      </c>
      <c r="E1015">
        <v>0.02</v>
      </c>
      <c r="G1015">
        <f t="shared" si="15"/>
        <v>1210</v>
      </c>
    </row>
    <row r="1016" spans="2:7">
      <c r="B1016">
        <v>1211</v>
      </c>
      <c r="E1016">
        <v>0.02</v>
      </c>
      <c r="G1016">
        <f t="shared" si="15"/>
        <v>1211</v>
      </c>
    </row>
    <row r="1017" spans="2:7">
      <c r="B1017">
        <v>1212</v>
      </c>
      <c r="E1017">
        <v>0.02</v>
      </c>
      <c r="G1017">
        <f t="shared" si="15"/>
        <v>1212</v>
      </c>
    </row>
    <row r="1018" spans="2:7">
      <c r="B1018">
        <v>1213</v>
      </c>
      <c r="E1018">
        <v>0.02</v>
      </c>
      <c r="G1018">
        <f t="shared" si="15"/>
        <v>1213</v>
      </c>
    </row>
    <row r="1019" spans="2:7">
      <c r="B1019">
        <v>1214</v>
      </c>
      <c r="E1019">
        <v>0.02</v>
      </c>
      <c r="G1019">
        <f t="shared" si="15"/>
        <v>1214</v>
      </c>
    </row>
    <row r="1020" spans="2:7">
      <c r="B1020">
        <v>1215</v>
      </c>
      <c r="E1020">
        <v>0.02</v>
      </c>
      <c r="G1020">
        <f t="shared" si="15"/>
        <v>1215</v>
      </c>
    </row>
    <row r="1021" spans="2:7">
      <c r="B1021">
        <v>1216</v>
      </c>
      <c r="E1021">
        <v>0.02</v>
      </c>
      <c r="G1021">
        <f t="shared" si="15"/>
        <v>1216</v>
      </c>
    </row>
    <row r="1022" spans="2:7">
      <c r="B1022">
        <v>1217</v>
      </c>
      <c r="E1022">
        <v>0.02</v>
      </c>
      <c r="G1022">
        <f t="shared" si="15"/>
        <v>1217</v>
      </c>
    </row>
    <row r="1023" spans="2:7">
      <c r="B1023">
        <v>1218</v>
      </c>
      <c r="E1023">
        <v>0.02</v>
      </c>
      <c r="G1023">
        <f t="shared" si="15"/>
        <v>1218</v>
      </c>
    </row>
    <row r="1024" spans="2:7">
      <c r="B1024">
        <v>1219</v>
      </c>
      <c r="E1024">
        <v>0.02</v>
      </c>
      <c r="G1024">
        <f t="shared" si="15"/>
        <v>1219</v>
      </c>
    </row>
    <row r="1025" spans="2:7">
      <c r="B1025">
        <v>1220</v>
      </c>
      <c r="E1025">
        <v>0.02</v>
      </c>
      <c r="G1025">
        <f t="shared" si="15"/>
        <v>1220</v>
      </c>
    </row>
    <row r="1026" spans="2:7">
      <c r="B1026">
        <v>1221</v>
      </c>
      <c r="E1026">
        <v>0.02</v>
      </c>
      <c r="G1026">
        <f t="shared" si="15"/>
        <v>1221</v>
      </c>
    </row>
    <row r="1027" spans="2:7">
      <c r="B1027">
        <v>1222</v>
      </c>
      <c r="E1027">
        <v>0.02</v>
      </c>
      <c r="G1027">
        <f t="shared" si="15"/>
        <v>1222</v>
      </c>
    </row>
    <row r="1028" spans="2:7">
      <c r="B1028">
        <v>1223</v>
      </c>
      <c r="E1028">
        <v>0.02</v>
      </c>
      <c r="G1028">
        <f t="shared" si="15"/>
        <v>1223</v>
      </c>
    </row>
    <row r="1029" spans="2:7">
      <c r="B1029">
        <v>1224</v>
      </c>
      <c r="E1029">
        <v>0.02</v>
      </c>
      <c r="G1029">
        <f t="shared" si="15"/>
        <v>1224</v>
      </c>
    </row>
    <row r="1030" spans="2:7">
      <c r="B1030">
        <v>1225</v>
      </c>
      <c r="E1030">
        <v>0.02</v>
      </c>
      <c r="G1030">
        <f t="shared" ref="G1030:G1093" si="16">B1030</f>
        <v>1225</v>
      </c>
    </row>
    <row r="1031" spans="2:7">
      <c r="B1031">
        <v>1226</v>
      </c>
      <c r="E1031">
        <v>0.02</v>
      </c>
      <c r="G1031">
        <f t="shared" si="16"/>
        <v>1226</v>
      </c>
    </row>
    <row r="1032" spans="2:7">
      <c r="B1032">
        <v>1227</v>
      </c>
      <c r="E1032">
        <v>0.02</v>
      </c>
      <c r="G1032">
        <f t="shared" si="16"/>
        <v>1227</v>
      </c>
    </row>
    <row r="1033" spans="2:7">
      <c r="B1033">
        <v>1228</v>
      </c>
      <c r="E1033">
        <v>0.02</v>
      </c>
      <c r="G1033">
        <f t="shared" si="16"/>
        <v>1228</v>
      </c>
    </row>
    <row r="1034" spans="2:7">
      <c r="B1034">
        <v>1229</v>
      </c>
      <c r="E1034">
        <v>0.02</v>
      </c>
      <c r="G1034">
        <f t="shared" si="16"/>
        <v>1229</v>
      </c>
    </row>
    <row r="1035" spans="2:7">
      <c r="B1035">
        <v>1230</v>
      </c>
      <c r="E1035">
        <v>0.02</v>
      </c>
      <c r="G1035">
        <f t="shared" si="16"/>
        <v>1230</v>
      </c>
    </row>
    <row r="1036" spans="2:7">
      <c r="B1036">
        <v>1231</v>
      </c>
      <c r="E1036">
        <v>0.02</v>
      </c>
      <c r="G1036">
        <f t="shared" si="16"/>
        <v>1231</v>
      </c>
    </row>
    <row r="1037" spans="2:7">
      <c r="B1037">
        <v>1232</v>
      </c>
      <c r="E1037">
        <v>0.02</v>
      </c>
      <c r="G1037">
        <f t="shared" si="16"/>
        <v>1232</v>
      </c>
    </row>
    <row r="1038" spans="2:7">
      <c r="B1038">
        <v>1233</v>
      </c>
      <c r="E1038">
        <v>0.02</v>
      </c>
      <c r="G1038">
        <f t="shared" si="16"/>
        <v>1233</v>
      </c>
    </row>
    <row r="1039" spans="2:7">
      <c r="B1039">
        <v>1234</v>
      </c>
      <c r="E1039">
        <v>0.02</v>
      </c>
      <c r="G1039">
        <f t="shared" si="16"/>
        <v>1234</v>
      </c>
    </row>
    <row r="1040" spans="2:7">
      <c r="B1040">
        <v>1235</v>
      </c>
      <c r="E1040">
        <v>0.02</v>
      </c>
      <c r="G1040">
        <f t="shared" si="16"/>
        <v>1235</v>
      </c>
    </row>
    <row r="1041" spans="2:7">
      <c r="B1041">
        <v>1236</v>
      </c>
      <c r="E1041">
        <v>0.02</v>
      </c>
      <c r="G1041">
        <f t="shared" si="16"/>
        <v>1236</v>
      </c>
    </row>
    <row r="1042" spans="2:7">
      <c r="B1042">
        <v>1237</v>
      </c>
      <c r="E1042">
        <v>0.02</v>
      </c>
      <c r="G1042">
        <f t="shared" si="16"/>
        <v>1237</v>
      </c>
    </row>
    <row r="1043" spans="2:7">
      <c r="B1043">
        <v>1238</v>
      </c>
      <c r="E1043">
        <v>0.02</v>
      </c>
      <c r="G1043">
        <f t="shared" si="16"/>
        <v>1238</v>
      </c>
    </row>
    <row r="1044" spans="2:7">
      <c r="B1044">
        <v>1239</v>
      </c>
      <c r="E1044">
        <v>0.02</v>
      </c>
      <c r="G1044">
        <f t="shared" si="16"/>
        <v>1239</v>
      </c>
    </row>
    <row r="1045" spans="2:7">
      <c r="B1045">
        <v>1240</v>
      </c>
      <c r="E1045">
        <v>0.02</v>
      </c>
      <c r="G1045">
        <f t="shared" si="16"/>
        <v>1240</v>
      </c>
    </row>
    <row r="1046" spans="2:7">
      <c r="B1046">
        <v>1241</v>
      </c>
      <c r="E1046">
        <v>0.02</v>
      </c>
      <c r="G1046">
        <f t="shared" si="16"/>
        <v>1241</v>
      </c>
    </row>
    <row r="1047" spans="2:7">
      <c r="B1047">
        <v>1242</v>
      </c>
      <c r="E1047">
        <v>0.02</v>
      </c>
      <c r="G1047">
        <f t="shared" si="16"/>
        <v>1242</v>
      </c>
    </row>
    <row r="1048" spans="2:7">
      <c r="B1048">
        <v>1243</v>
      </c>
      <c r="E1048">
        <v>0.02</v>
      </c>
      <c r="G1048">
        <f t="shared" si="16"/>
        <v>1243</v>
      </c>
    </row>
    <row r="1049" spans="2:7">
      <c r="B1049">
        <v>1244</v>
      </c>
      <c r="E1049">
        <v>0.02</v>
      </c>
      <c r="G1049">
        <f t="shared" si="16"/>
        <v>1244</v>
      </c>
    </row>
    <row r="1050" spans="2:7">
      <c r="B1050">
        <v>1245</v>
      </c>
      <c r="E1050">
        <v>0.02</v>
      </c>
      <c r="G1050">
        <f t="shared" si="16"/>
        <v>1245</v>
      </c>
    </row>
    <row r="1051" spans="2:7">
      <c r="B1051">
        <v>1246</v>
      </c>
      <c r="E1051">
        <v>0.02</v>
      </c>
      <c r="G1051">
        <f t="shared" si="16"/>
        <v>1246</v>
      </c>
    </row>
    <row r="1052" spans="2:7">
      <c r="B1052">
        <v>1247</v>
      </c>
      <c r="E1052">
        <v>0.02</v>
      </c>
      <c r="G1052">
        <f t="shared" si="16"/>
        <v>1247</v>
      </c>
    </row>
    <row r="1053" spans="2:7">
      <c r="B1053">
        <v>1248</v>
      </c>
      <c r="E1053">
        <v>0.02</v>
      </c>
      <c r="G1053">
        <f t="shared" si="16"/>
        <v>1248</v>
      </c>
    </row>
    <row r="1054" spans="2:7">
      <c r="B1054">
        <v>1249</v>
      </c>
      <c r="E1054">
        <v>0.02</v>
      </c>
      <c r="G1054">
        <f t="shared" si="16"/>
        <v>1249</v>
      </c>
    </row>
    <row r="1055" spans="2:7">
      <c r="B1055">
        <v>1250</v>
      </c>
      <c r="E1055">
        <v>0.02</v>
      </c>
      <c r="G1055">
        <f t="shared" si="16"/>
        <v>1250</v>
      </c>
    </row>
    <row r="1056" spans="2:7">
      <c r="B1056">
        <v>1251</v>
      </c>
      <c r="E1056">
        <v>0.02</v>
      </c>
      <c r="G1056">
        <f t="shared" si="16"/>
        <v>1251</v>
      </c>
    </row>
    <row r="1057" spans="2:7">
      <c r="B1057">
        <v>1252</v>
      </c>
      <c r="E1057">
        <v>0.02</v>
      </c>
      <c r="G1057">
        <f t="shared" si="16"/>
        <v>1252</v>
      </c>
    </row>
    <row r="1058" spans="2:7">
      <c r="B1058">
        <v>1253</v>
      </c>
      <c r="E1058">
        <v>0.02</v>
      </c>
      <c r="G1058">
        <f t="shared" si="16"/>
        <v>1253</v>
      </c>
    </row>
    <row r="1059" spans="2:7">
      <c r="B1059">
        <v>1254</v>
      </c>
      <c r="E1059">
        <v>0.02</v>
      </c>
      <c r="G1059">
        <f t="shared" si="16"/>
        <v>1254</v>
      </c>
    </row>
    <row r="1060" spans="2:7">
      <c r="B1060">
        <v>1255</v>
      </c>
      <c r="E1060">
        <v>0.02</v>
      </c>
      <c r="G1060">
        <f t="shared" si="16"/>
        <v>1255</v>
      </c>
    </row>
    <row r="1061" spans="2:7">
      <c r="B1061">
        <v>1256</v>
      </c>
      <c r="E1061">
        <v>0.02</v>
      </c>
      <c r="G1061">
        <f t="shared" si="16"/>
        <v>1256</v>
      </c>
    </row>
    <row r="1062" spans="2:7">
      <c r="B1062">
        <v>1257</v>
      </c>
      <c r="E1062">
        <v>0.02</v>
      </c>
      <c r="G1062">
        <f t="shared" si="16"/>
        <v>1257</v>
      </c>
    </row>
    <row r="1063" spans="2:7">
      <c r="B1063">
        <v>1258</v>
      </c>
      <c r="E1063">
        <v>0.02</v>
      </c>
      <c r="G1063">
        <f t="shared" si="16"/>
        <v>1258</v>
      </c>
    </row>
    <row r="1064" spans="2:7">
      <c r="B1064">
        <v>1259</v>
      </c>
      <c r="E1064">
        <v>0.02</v>
      </c>
      <c r="G1064">
        <f t="shared" si="16"/>
        <v>1259</v>
      </c>
    </row>
    <row r="1065" spans="2:7">
      <c r="B1065">
        <v>1260</v>
      </c>
      <c r="E1065">
        <v>0.02</v>
      </c>
      <c r="G1065">
        <f t="shared" si="16"/>
        <v>1260</v>
      </c>
    </row>
    <row r="1066" spans="2:7">
      <c r="B1066">
        <v>1261</v>
      </c>
      <c r="E1066">
        <v>0.02</v>
      </c>
      <c r="G1066">
        <f t="shared" si="16"/>
        <v>1261</v>
      </c>
    </row>
    <row r="1067" spans="2:7">
      <c r="B1067">
        <v>1262</v>
      </c>
      <c r="E1067">
        <v>0.02</v>
      </c>
      <c r="G1067">
        <f t="shared" si="16"/>
        <v>1262</v>
      </c>
    </row>
    <row r="1068" spans="2:7">
      <c r="B1068">
        <v>1263</v>
      </c>
      <c r="E1068">
        <v>0.02</v>
      </c>
      <c r="G1068">
        <f t="shared" si="16"/>
        <v>1263</v>
      </c>
    </row>
    <row r="1069" spans="2:7">
      <c r="B1069">
        <v>1264</v>
      </c>
      <c r="E1069">
        <v>0.02</v>
      </c>
      <c r="G1069">
        <f t="shared" si="16"/>
        <v>1264</v>
      </c>
    </row>
    <row r="1070" spans="2:7">
      <c r="B1070">
        <v>1265</v>
      </c>
      <c r="E1070">
        <v>0.02</v>
      </c>
      <c r="G1070">
        <f t="shared" si="16"/>
        <v>1265</v>
      </c>
    </row>
    <row r="1071" spans="2:7">
      <c r="B1071">
        <v>1266</v>
      </c>
      <c r="E1071">
        <v>0.02</v>
      </c>
      <c r="G1071">
        <f t="shared" si="16"/>
        <v>1266</v>
      </c>
    </row>
    <row r="1072" spans="2:7">
      <c r="B1072">
        <v>1267</v>
      </c>
      <c r="E1072">
        <v>0.02</v>
      </c>
      <c r="G1072">
        <f t="shared" si="16"/>
        <v>1267</v>
      </c>
    </row>
    <row r="1073" spans="2:7">
      <c r="B1073">
        <v>1268</v>
      </c>
      <c r="E1073">
        <v>0.02</v>
      </c>
      <c r="G1073">
        <f t="shared" si="16"/>
        <v>1268</v>
      </c>
    </row>
    <row r="1074" spans="2:7">
      <c r="B1074">
        <v>1269</v>
      </c>
      <c r="E1074">
        <v>0.02</v>
      </c>
      <c r="G1074">
        <f t="shared" si="16"/>
        <v>1269</v>
      </c>
    </row>
    <row r="1075" spans="2:7">
      <c r="B1075">
        <v>1270</v>
      </c>
      <c r="E1075">
        <v>0.02</v>
      </c>
      <c r="G1075">
        <f t="shared" si="16"/>
        <v>1270</v>
      </c>
    </row>
    <row r="1076" spans="2:7">
      <c r="B1076">
        <v>1271</v>
      </c>
      <c r="E1076">
        <v>0.02</v>
      </c>
      <c r="G1076">
        <f t="shared" si="16"/>
        <v>1271</v>
      </c>
    </row>
    <row r="1077" spans="2:7">
      <c r="B1077">
        <v>1272</v>
      </c>
      <c r="E1077">
        <v>0.02</v>
      </c>
      <c r="G1077">
        <f t="shared" si="16"/>
        <v>1272</v>
      </c>
    </row>
    <row r="1078" spans="2:7">
      <c r="B1078">
        <v>1273</v>
      </c>
      <c r="E1078">
        <v>0.02</v>
      </c>
      <c r="G1078">
        <f t="shared" si="16"/>
        <v>1273</v>
      </c>
    </row>
    <row r="1079" spans="2:7">
      <c r="B1079">
        <v>1274</v>
      </c>
      <c r="E1079">
        <v>0.02</v>
      </c>
      <c r="G1079">
        <f t="shared" si="16"/>
        <v>1274</v>
      </c>
    </row>
    <row r="1080" spans="2:7">
      <c r="B1080">
        <v>1275</v>
      </c>
      <c r="E1080">
        <v>0.02</v>
      </c>
      <c r="G1080">
        <f t="shared" si="16"/>
        <v>1275</v>
      </c>
    </row>
    <row r="1081" spans="2:7">
      <c r="B1081">
        <v>1276</v>
      </c>
      <c r="E1081">
        <v>0.02</v>
      </c>
      <c r="G1081">
        <f t="shared" si="16"/>
        <v>1276</v>
      </c>
    </row>
    <row r="1082" spans="2:7">
      <c r="B1082">
        <v>1277</v>
      </c>
      <c r="E1082">
        <v>0.02</v>
      </c>
      <c r="G1082">
        <f t="shared" si="16"/>
        <v>1277</v>
      </c>
    </row>
    <row r="1083" spans="2:7">
      <c r="B1083">
        <v>1278</v>
      </c>
      <c r="E1083">
        <v>0.02</v>
      </c>
      <c r="G1083">
        <f t="shared" si="16"/>
        <v>1278</v>
      </c>
    </row>
    <row r="1084" spans="2:7">
      <c r="B1084">
        <v>1279</v>
      </c>
      <c r="E1084">
        <v>0.02</v>
      </c>
      <c r="G1084">
        <f t="shared" si="16"/>
        <v>1279</v>
      </c>
    </row>
    <row r="1085" spans="2:7">
      <c r="B1085">
        <v>1280</v>
      </c>
      <c r="E1085">
        <v>0.02</v>
      </c>
      <c r="G1085">
        <f t="shared" si="16"/>
        <v>1280</v>
      </c>
    </row>
    <row r="1086" spans="2:7">
      <c r="B1086">
        <v>1281</v>
      </c>
      <c r="E1086">
        <v>0.02</v>
      </c>
      <c r="G1086">
        <f t="shared" si="16"/>
        <v>1281</v>
      </c>
    </row>
    <row r="1087" spans="2:7">
      <c r="B1087">
        <v>1282</v>
      </c>
      <c r="E1087">
        <v>0.02</v>
      </c>
      <c r="G1087">
        <f t="shared" si="16"/>
        <v>1282</v>
      </c>
    </row>
    <row r="1088" spans="2:7">
      <c r="B1088">
        <v>1283</v>
      </c>
      <c r="E1088">
        <v>0.02</v>
      </c>
      <c r="G1088">
        <f t="shared" si="16"/>
        <v>1283</v>
      </c>
    </row>
    <row r="1089" spans="2:7">
      <c r="B1089">
        <v>1284</v>
      </c>
      <c r="E1089">
        <v>0.02</v>
      </c>
      <c r="G1089">
        <f t="shared" si="16"/>
        <v>1284</v>
      </c>
    </row>
    <row r="1090" spans="2:7">
      <c r="B1090">
        <v>1285</v>
      </c>
      <c r="E1090">
        <v>0.02</v>
      </c>
      <c r="G1090">
        <f t="shared" si="16"/>
        <v>1285</v>
      </c>
    </row>
    <row r="1091" spans="2:7">
      <c r="B1091">
        <v>1286</v>
      </c>
      <c r="E1091">
        <v>0.02</v>
      </c>
      <c r="G1091">
        <f t="shared" si="16"/>
        <v>1286</v>
      </c>
    </row>
    <row r="1092" spans="2:7">
      <c r="B1092">
        <v>1287</v>
      </c>
      <c r="E1092">
        <v>0.02</v>
      </c>
      <c r="G1092">
        <f t="shared" si="16"/>
        <v>1287</v>
      </c>
    </row>
    <row r="1093" spans="2:7">
      <c r="B1093">
        <v>1288</v>
      </c>
      <c r="E1093">
        <v>0.02</v>
      </c>
      <c r="G1093">
        <f t="shared" si="16"/>
        <v>1288</v>
      </c>
    </row>
    <row r="1094" spans="2:7">
      <c r="B1094">
        <v>1289</v>
      </c>
      <c r="E1094">
        <v>0.02</v>
      </c>
      <c r="G1094">
        <f t="shared" ref="G1094:G1157" si="17">B1094</f>
        <v>1289</v>
      </c>
    </row>
    <row r="1095" spans="2:7">
      <c r="B1095">
        <v>1290</v>
      </c>
      <c r="E1095">
        <v>0.02</v>
      </c>
      <c r="G1095">
        <f t="shared" si="17"/>
        <v>1290</v>
      </c>
    </row>
    <row r="1096" spans="2:7">
      <c r="B1096">
        <v>1291</v>
      </c>
      <c r="E1096">
        <v>0.02</v>
      </c>
      <c r="G1096">
        <f t="shared" si="17"/>
        <v>1291</v>
      </c>
    </row>
    <row r="1097" spans="2:7">
      <c r="B1097">
        <v>1292</v>
      </c>
      <c r="E1097">
        <v>0.02</v>
      </c>
      <c r="G1097">
        <f t="shared" si="17"/>
        <v>1292</v>
      </c>
    </row>
    <row r="1098" spans="2:7">
      <c r="B1098">
        <v>1293</v>
      </c>
      <c r="E1098">
        <v>0.02</v>
      </c>
      <c r="G1098">
        <f t="shared" si="17"/>
        <v>1293</v>
      </c>
    </row>
    <row r="1099" spans="2:7">
      <c r="B1099">
        <v>1294</v>
      </c>
      <c r="E1099">
        <v>0.02</v>
      </c>
      <c r="G1099">
        <f t="shared" si="17"/>
        <v>1294</v>
      </c>
    </row>
    <row r="1100" spans="2:7">
      <c r="B1100">
        <v>1295</v>
      </c>
      <c r="E1100">
        <v>0.02</v>
      </c>
      <c r="G1100">
        <f t="shared" si="17"/>
        <v>1295</v>
      </c>
    </row>
    <row r="1101" spans="2:7">
      <c r="B1101">
        <v>1296</v>
      </c>
      <c r="E1101">
        <v>0.02</v>
      </c>
      <c r="G1101">
        <f t="shared" si="17"/>
        <v>1296</v>
      </c>
    </row>
    <row r="1102" spans="2:7">
      <c r="B1102">
        <v>1297</v>
      </c>
      <c r="E1102">
        <v>0.02</v>
      </c>
      <c r="G1102">
        <f t="shared" si="17"/>
        <v>1297</v>
      </c>
    </row>
    <row r="1103" spans="2:7">
      <c r="B1103">
        <v>1298</v>
      </c>
      <c r="E1103">
        <v>0.02</v>
      </c>
      <c r="G1103">
        <f t="shared" si="17"/>
        <v>1298</v>
      </c>
    </row>
    <row r="1104" spans="2:7">
      <c r="B1104">
        <v>1299</v>
      </c>
      <c r="E1104">
        <v>0.02</v>
      </c>
      <c r="G1104">
        <f t="shared" si="17"/>
        <v>1299</v>
      </c>
    </row>
    <row r="1105" spans="2:7">
      <c r="B1105">
        <v>1300</v>
      </c>
      <c r="E1105">
        <v>0.02</v>
      </c>
      <c r="G1105">
        <f t="shared" si="17"/>
        <v>1300</v>
      </c>
    </row>
    <row r="1106" spans="2:7">
      <c r="B1106">
        <v>1301</v>
      </c>
      <c r="E1106">
        <v>0.02</v>
      </c>
      <c r="G1106">
        <f t="shared" si="17"/>
        <v>1301</v>
      </c>
    </row>
    <row r="1107" spans="2:7">
      <c r="B1107">
        <v>1302</v>
      </c>
      <c r="E1107">
        <v>0.02</v>
      </c>
      <c r="G1107">
        <f t="shared" si="17"/>
        <v>1302</v>
      </c>
    </row>
    <row r="1108" spans="2:7">
      <c r="B1108">
        <v>1303</v>
      </c>
      <c r="E1108">
        <v>0.02</v>
      </c>
      <c r="G1108">
        <f t="shared" si="17"/>
        <v>1303</v>
      </c>
    </row>
    <row r="1109" spans="2:7">
      <c r="B1109">
        <v>1304</v>
      </c>
      <c r="E1109">
        <v>0.02</v>
      </c>
      <c r="G1109">
        <f t="shared" si="17"/>
        <v>1304</v>
      </c>
    </row>
    <row r="1110" spans="2:7">
      <c r="B1110">
        <v>1305</v>
      </c>
      <c r="E1110">
        <v>0.02</v>
      </c>
      <c r="G1110">
        <f t="shared" si="17"/>
        <v>1305</v>
      </c>
    </row>
    <row r="1111" spans="2:7">
      <c r="B1111">
        <v>1306</v>
      </c>
      <c r="E1111">
        <v>0.02</v>
      </c>
      <c r="G1111">
        <f t="shared" si="17"/>
        <v>1306</v>
      </c>
    </row>
    <row r="1112" spans="2:7">
      <c r="B1112">
        <v>1307</v>
      </c>
      <c r="E1112">
        <v>0.02</v>
      </c>
      <c r="G1112">
        <f t="shared" si="17"/>
        <v>1307</v>
      </c>
    </row>
    <row r="1113" spans="2:7">
      <c r="B1113">
        <v>1308</v>
      </c>
      <c r="E1113">
        <v>0.02</v>
      </c>
      <c r="G1113">
        <f t="shared" si="17"/>
        <v>1308</v>
      </c>
    </row>
    <row r="1114" spans="2:7">
      <c r="B1114">
        <v>1309</v>
      </c>
      <c r="E1114">
        <v>0.02</v>
      </c>
      <c r="G1114">
        <f t="shared" si="17"/>
        <v>1309</v>
      </c>
    </row>
    <row r="1115" spans="2:7">
      <c r="B1115">
        <v>1310</v>
      </c>
      <c r="E1115">
        <v>0.02</v>
      </c>
      <c r="G1115">
        <f t="shared" si="17"/>
        <v>1310</v>
      </c>
    </row>
    <row r="1116" spans="2:7">
      <c r="B1116">
        <v>1311</v>
      </c>
      <c r="E1116">
        <v>0.02</v>
      </c>
      <c r="G1116">
        <f t="shared" si="17"/>
        <v>1311</v>
      </c>
    </row>
    <row r="1117" spans="2:7">
      <c r="B1117">
        <v>1312</v>
      </c>
      <c r="E1117">
        <v>0.02</v>
      </c>
      <c r="G1117">
        <f t="shared" si="17"/>
        <v>1312</v>
      </c>
    </row>
    <row r="1118" spans="2:7">
      <c r="B1118">
        <v>1313</v>
      </c>
      <c r="E1118">
        <v>0.02</v>
      </c>
      <c r="G1118">
        <f t="shared" si="17"/>
        <v>1313</v>
      </c>
    </row>
    <row r="1119" spans="2:7">
      <c r="B1119">
        <v>1314</v>
      </c>
      <c r="E1119">
        <v>0.02</v>
      </c>
      <c r="G1119">
        <f t="shared" si="17"/>
        <v>1314</v>
      </c>
    </row>
    <row r="1120" spans="2:7">
      <c r="B1120">
        <v>1315</v>
      </c>
      <c r="E1120">
        <v>0.02</v>
      </c>
      <c r="G1120">
        <f t="shared" si="17"/>
        <v>1315</v>
      </c>
    </row>
    <row r="1121" spans="2:7">
      <c r="B1121">
        <v>1316</v>
      </c>
      <c r="E1121">
        <v>0.02</v>
      </c>
      <c r="G1121">
        <f t="shared" si="17"/>
        <v>1316</v>
      </c>
    </row>
    <row r="1122" spans="2:7">
      <c r="B1122">
        <v>1317</v>
      </c>
      <c r="E1122">
        <v>0.02</v>
      </c>
      <c r="G1122">
        <f t="shared" si="17"/>
        <v>1317</v>
      </c>
    </row>
    <row r="1123" spans="2:7">
      <c r="B1123">
        <v>1318</v>
      </c>
      <c r="E1123">
        <v>0.02</v>
      </c>
      <c r="G1123">
        <f t="shared" si="17"/>
        <v>1318</v>
      </c>
    </row>
    <row r="1124" spans="2:7">
      <c r="B1124">
        <v>1319</v>
      </c>
      <c r="E1124">
        <v>0.02</v>
      </c>
      <c r="G1124">
        <f t="shared" si="17"/>
        <v>1319</v>
      </c>
    </row>
    <row r="1125" spans="2:7">
      <c r="B1125">
        <v>1320</v>
      </c>
      <c r="E1125">
        <v>0.02</v>
      </c>
      <c r="G1125">
        <f t="shared" si="17"/>
        <v>1320</v>
      </c>
    </row>
    <row r="1126" spans="2:7">
      <c r="B1126">
        <v>1321</v>
      </c>
      <c r="E1126">
        <v>0.02</v>
      </c>
      <c r="G1126">
        <f t="shared" si="17"/>
        <v>1321</v>
      </c>
    </row>
    <row r="1127" spans="2:7">
      <c r="B1127">
        <v>1322</v>
      </c>
      <c r="E1127">
        <v>0.02</v>
      </c>
      <c r="G1127">
        <f t="shared" si="17"/>
        <v>1322</v>
      </c>
    </row>
    <row r="1128" spans="2:7">
      <c r="B1128">
        <v>1323</v>
      </c>
      <c r="E1128">
        <v>0.02</v>
      </c>
      <c r="G1128">
        <f t="shared" si="17"/>
        <v>1323</v>
      </c>
    </row>
    <row r="1129" spans="2:7">
      <c r="B1129">
        <v>1324</v>
      </c>
      <c r="E1129">
        <v>0.02</v>
      </c>
      <c r="G1129">
        <f t="shared" si="17"/>
        <v>1324</v>
      </c>
    </row>
    <row r="1130" spans="2:7">
      <c r="B1130">
        <v>1325</v>
      </c>
      <c r="E1130">
        <v>0.02</v>
      </c>
      <c r="G1130">
        <f t="shared" si="17"/>
        <v>1325</v>
      </c>
    </row>
    <row r="1131" spans="2:7">
      <c r="B1131">
        <v>1326</v>
      </c>
      <c r="E1131">
        <v>0.02</v>
      </c>
      <c r="G1131">
        <f t="shared" si="17"/>
        <v>1326</v>
      </c>
    </row>
    <row r="1132" spans="2:7">
      <c r="B1132">
        <v>1327</v>
      </c>
      <c r="E1132">
        <v>0.02</v>
      </c>
      <c r="G1132">
        <f t="shared" si="17"/>
        <v>1327</v>
      </c>
    </row>
    <row r="1133" spans="2:7">
      <c r="B1133">
        <v>1328</v>
      </c>
      <c r="E1133">
        <v>0.02</v>
      </c>
      <c r="G1133">
        <f t="shared" si="17"/>
        <v>1328</v>
      </c>
    </row>
    <row r="1134" spans="2:7">
      <c r="B1134">
        <v>1329</v>
      </c>
      <c r="E1134">
        <v>0.02</v>
      </c>
      <c r="G1134">
        <f t="shared" si="17"/>
        <v>1329</v>
      </c>
    </row>
    <row r="1135" spans="2:7">
      <c r="B1135">
        <v>1330</v>
      </c>
      <c r="E1135">
        <v>0.02</v>
      </c>
      <c r="G1135">
        <f t="shared" si="17"/>
        <v>1330</v>
      </c>
    </row>
    <row r="1136" spans="2:7">
      <c r="B1136">
        <v>1331</v>
      </c>
      <c r="E1136">
        <v>0.02</v>
      </c>
      <c r="G1136">
        <f t="shared" si="17"/>
        <v>1331</v>
      </c>
    </row>
    <row r="1137" spans="2:7">
      <c r="B1137">
        <v>1332</v>
      </c>
      <c r="E1137">
        <v>0.02</v>
      </c>
      <c r="G1137">
        <f t="shared" si="17"/>
        <v>1332</v>
      </c>
    </row>
    <row r="1138" spans="2:7">
      <c r="B1138">
        <v>1333</v>
      </c>
      <c r="E1138">
        <v>0.02</v>
      </c>
      <c r="G1138">
        <f t="shared" si="17"/>
        <v>1333</v>
      </c>
    </row>
    <row r="1139" spans="2:7">
      <c r="B1139">
        <v>1334</v>
      </c>
      <c r="E1139">
        <v>0.02</v>
      </c>
      <c r="G1139">
        <f t="shared" si="17"/>
        <v>1334</v>
      </c>
    </row>
    <row r="1140" spans="2:7">
      <c r="B1140">
        <v>1335</v>
      </c>
      <c r="E1140">
        <v>0.02</v>
      </c>
      <c r="G1140">
        <f t="shared" si="17"/>
        <v>1335</v>
      </c>
    </row>
    <row r="1141" spans="2:7">
      <c r="B1141">
        <v>1336</v>
      </c>
      <c r="E1141">
        <v>0.02</v>
      </c>
      <c r="G1141">
        <f t="shared" si="17"/>
        <v>1336</v>
      </c>
    </row>
    <row r="1142" spans="2:7">
      <c r="B1142">
        <v>1337</v>
      </c>
      <c r="E1142">
        <v>0.02</v>
      </c>
      <c r="G1142">
        <f t="shared" si="17"/>
        <v>1337</v>
      </c>
    </row>
    <row r="1143" spans="2:7">
      <c r="B1143">
        <v>1338</v>
      </c>
      <c r="E1143">
        <v>0.02</v>
      </c>
      <c r="G1143">
        <f t="shared" si="17"/>
        <v>1338</v>
      </c>
    </row>
    <row r="1144" spans="2:7">
      <c r="B1144">
        <v>1339</v>
      </c>
      <c r="E1144">
        <v>0.02</v>
      </c>
      <c r="G1144">
        <f t="shared" si="17"/>
        <v>1339</v>
      </c>
    </row>
    <row r="1145" spans="2:7">
      <c r="B1145">
        <v>1340</v>
      </c>
      <c r="E1145">
        <v>0.02</v>
      </c>
      <c r="G1145">
        <f t="shared" si="17"/>
        <v>1340</v>
      </c>
    </row>
    <row r="1146" spans="2:7">
      <c r="B1146">
        <v>1341</v>
      </c>
      <c r="E1146">
        <v>0.02</v>
      </c>
      <c r="G1146">
        <f t="shared" si="17"/>
        <v>1341</v>
      </c>
    </row>
    <row r="1147" spans="2:7">
      <c r="B1147">
        <v>1342</v>
      </c>
      <c r="E1147">
        <v>0.02</v>
      </c>
      <c r="G1147">
        <f t="shared" si="17"/>
        <v>1342</v>
      </c>
    </row>
    <row r="1148" spans="2:7">
      <c r="B1148">
        <v>1343</v>
      </c>
      <c r="E1148">
        <v>0.02</v>
      </c>
      <c r="G1148">
        <f t="shared" si="17"/>
        <v>1343</v>
      </c>
    </row>
    <row r="1149" spans="2:7">
      <c r="B1149">
        <v>1344</v>
      </c>
      <c r="E1149">
        <v>0.02</v>
      </c>
      <c r="G1149">
        <f t="shared" si="17"/>
        <v>1344</v>
      </c>
    </row>
    <row r="1150" spans="2:7">
      <c r="B1150">
        <v>1345</v>
      </c>
      <c r="E1150">
        <v>0.02</v>
      </c>
      <c r="G1150">
        <f t="shared" si="17"/>
        <v>1345</v>
      </c>
    </row>
    <row r="1151" spans="2:7">
      <c r="B1151">
        <v>1346</v>
      </c>
      <c r="E1151">
        <v>0.02</v>
      </c>
      <c r="G1151">
        <f t="shared" si="17"/>
        <v>1346</v>
      </c>
    </row>
    <row r="1152" spans="2:7">
      <c r="B1152">
        <v>1347</v>
      </c>
      <c r="E1152">
        <v>0.02</v>
      </c>
      <c r="G1152">
        <f t="shared" si="17"/>
        <v>1347</v>
      </c>
    </row>
    <row r="1153" spans="2:7">
      <c r="B1153">
        <v>1348</v>
      </c>
      <c r="E1153">
        <v>0.02</v>
      </c>
      <c r="G1153">
        <f t="shared" si="17"/>
        <v>1348</v>
      </c>
    </row>
    <row r="1154" spans="2:7">
      <c r="B1154">
        <v>1349</v>
      </c>
      <c r="E1154">
        <v>0.02</v>
      </c>
      <c r="G1154">
        <f t="shared" si="17"/>
        <v>1349</v>
      </c>
    </row>
    <row r="1155" spans="2:7">
      <c r="B1155">
        <v>1350</v>
      </c>
      <c r="E1155">
        <v>0.02</v>
      </c>
      <c r="G1155">
        <f t="shared" si="17"/>
        <v>1350</v>
      </c>
    </row>
    <row r="1156" spans="2:7">
      <c r="B1156">
        <v>1351</v>
      </c>
      <c r="E1156">
        <v>0.02</v>
      </c>
      <c r="G1156">
        <f t="shared" si="17"/>
        <v>1351</v>
      </c>
    </row>
    <row r="1157" spans="2:7">
      <c r="B1157">
        <v>1352</v>
      </c>
      <c r="E1157">
        <v>0.02</v>
      </c>
      <c r="G1157">
        <f t="shared" si="17"/>
        <v>1352</v>
      </c>
    </row>
    <row r="1158" spans="2:7">
      <c r="B1158">
        <v>1353</v>
      </c>
      <c r="E1158">
        <v>0.02</v>
      </c>
      <c r="G1158">
        <f t="shared" ref="G1158:G1205" si="18">B1158</f>
        <v>1353</v>
      </c>
    </row>
    <row r="1159" spans="2:7">
      <c r="B1159">
        <v>1354</v>
      </c>
      <c r="E1159">
        <v>0.02</v>
      </c>
      <c r="G1159">
        <f t="shared" si="18"/>
        <v>1354</v>
      </c>
    </row>
    <row r="1160" spans="2:7">
      <c r="B1160">
        <v>1355</v>
      </c>
      <c r="E1160">
        <v>0.02</v>
      </c>
      <c r="G1160">
        <f t="shared" si="18"/>
        <v>1355</v>
      </c>
    </row>
    <row r="1161" spans="2:7">
      <c r="B1161">
        <v>1356</v>
      </c>
      <c r="E1161">
        <v>0.02</v>
      </c>
      <c r="G1161">
        <f t="shared" si="18"/>
        <v>1356</v>
      </c>
    </row>
    <row r="1162" spans="2:7">
      <c r="B1162">
        <v>1357</v>
      </c>
      <c r="E1162">
        <v>0.02</v>
      </c>
      <c r="G1162">
        <f t="shared" si="18"/>
        <v>1357</v>
      </c>
    </row>
    <row r="1163" spans="2:7">
      <c r="B1163">
        <v>1358</v>
      </c>
      <c r="E1163">
        <v>0.02</v>
      </c>
      <c r="G1163">
        <f t="shared" si="18"/>
        <v>1358</v>
      </c>
    </row>
    <row r="1164" spans="2:7">
      <c r="B1164">
        <v>1359</v>
      </c>
      <c r="E1164">
        <v>0.02</v>
      </c>
      <c r="G1164">
        <f t="shared" si="18"/>
        <v>1359</v>
      </c>
    </row>
    <row r="1165" spans="2:7">
      <c r="B1165">
        <v>1360</v>
      </c>
      <c r="E1165">
        <v>0.02</v>
      </c>
      <c r="G1165">
        <f t="shared" si="18"/>
        <v>1360</v>
      </c>
    </row>
    <row r="1166" spans="2:7">
      <c r="B1166">
        <v>1361</v>
      </c>
      <c r="E1166">
        <v>0.02</v>
      </c>
      <c r="G1166">
        <f t="shared" si="18"/>
        <v>1361</v>
      </c>
    </row>
    <row r="1167" spans="2:7">
      <c r="B1167">
        <v>1362</v>
      </c>
      <c r="E1167">
        <v>0.02</v>
      </c>
      <c r="G1167">
        <f t="shared" si="18"/>
        <v>1362</v>
      </c>
    </row>
    <row r="1168" spans="2:7">
      <c r="B1168">
        <v>1363</v>
      </c>
      <c r="E1168">
        <v>0.02</v>
      </c>
      <c r="G1168">
        <f t="shared" si="18"/>
        <v>1363</v>
      </c>
    </row>
    <row r="1169" spans="2:7">
      <c r="B1169">
        <v>1364</v>
      </c>
      <c r="E1169">
        <v>0.02</v>
      </c>
      <c r="G1169">
        <f t="shared" si="18"/>
        <v>1364</v>
      </c>
    </row>
    <row r="1170" spans="2:7">
      <c r="B1170">
        <v>1365</v>
      </c>
      <c r="E1170">
        <v>0.02</v>
      </c>
      <c r="G1170">
        <f t="shared" si="18"/>
        <v>1365</v>
      </c>
    </row>
    <row r="1171" spans="2:7">
      <c r="B1171">
        <v>1366</v>
      </c>
      <c r="E1171">
        <v>0.02</v>
      </c>
      <c r="G1171">
        <f t="shared" si="18"/>
        <v>1366</v>
      </c>
    </row>
    <row r="1172" spans="2:7">
      <c r="B1172">
        <v>1367</v>
      </c>
      <c r="E1172">
        <v>0.02</v>
      </c>
      <c r="G1172">
        <f t="shared" si="18"/>
        <v>1367</v>
      </c>
    </row>
    <row r="1173" spans="2:7">
      <c r="B1173">
        <v>1368</v>
      </c>
      <c r="E1173">
        <v>0.02</v>
      </c>
      <c r="G1173">
        <f t="shared" si="18"/>
        <v>1368</v>
      </c>
    </row>
    <row r="1174" spans="2:7">
      <c r="B1174">
        <v>1369</v>
      </c>
      <c r="E1174">
        <v>0.02</v>
      </c>
      <c r="G1174">
        <f t="shared" si="18"/>
        <v>1369</v>
      </c>
    </row>
    <row r="1175" spans="2:7">
      <c r="B1175">
        <v>1370</v>
      </c>
      <c r="E1175">
        <v>0.02</v>
      </c>
      <c r="G1175">
        <f t="shared" si="18"/>
        <v>1370</v>
      </c>
    </row>
    <row r="1176" spans="2:7">
      <c r="B1176">
        <v>1371</v>
      </c>
      <c r="E1176">
        <v>0.02</v>
      </c>
      <c r="G1176">
        <f t="shared" si="18"/>
        <v>1371</v>
      </c>
    </row>
    <row r="1177" spans="2:7">
      <c r="B1177">
        <v>1372</v>
      </c>
      <c r="E1177">
        <v>0.02</v>
      </c>
      <c r="G1177">
        <f t="shared" si="18"/>
        <v>1372</v>
      </c>
    </row>
    <row r="1178" spans="2:7">
      <c r="B1178">
        <v>1373</v>
      </c>
      <c r="E1178">
        <v>0.02</v>
      </c>
      <c r="G1178">
        <f t="shared" si="18"/>
        <v>1373</v>
      </c>
    </row>
    <row r="1179" spans="2:7">
      <c r="B1179">
        <v>1374</v>
      </c>
      <c r="E1179">
        <v>0.02</v>
      </c>
      <c r="G1179">
        <f t="shared" si="18"/>
        <v>1374</v>
      </c>
    </row>
    <row r="1180" spans="2:7">
      <c r="B1180">
        <v>1375</v>
      </c>
      <c r="E1180">
        <v>0.02</v>
      </c>
      <c r="G1180">
        <f t="shared" si="18"/>
        <v>1375</v>
      </c>
    </row>
    <row r="1181" spans="2:7">
      <c r="B1181">
        <v>1376</v>
      </c>
      <c r="E1181">
        <v>0.02</v>
      </c>
      <c r="G1181">
        <f t="shared" si="18"/>
        <v>1376</v>
      </c>
    </row>
    <row r="1182" spans="2:7">
      <c r="B1182">
        <v>1377</v>
      </c>
      <c r="E1182">
        <v>0.02</v>
      </c>
      <c r="G1182">
        <f t="shared" si="18"/>
        <v>1377</v>
      </c>
    </row>
    <row r="1183" spans="2:7">
      <c r="B1183">
        <v>1378</v>
      </c>
      <c r="E1183">
        <v>0.02</v>
      </c>
      <c r="G1183">
        <f t="shared" si="18"/>
        <v>1378</v>
      </c>
    </row>
    <row r="1184" spans="2:7">
      <c r="B1184">
        <v>1379</v>
      </c>
      <c r="E1184">
        <v>0.02</v>
      </c>
      <c r="G1184">
        <f t="shared" si="18"/>
        <v>1379</v>
      </c>
    </row>
    <row r="1185" spans="2:7">
      <c r="B1185">
        <v>1380</v>
      </c>
      <c r="E1185">
        <v>0.02</v>
      </c>
      <c r="G1185">
        <f t="shared" si="18"/>
        <v>1380</v>
      </c>
    </row>
    <row r="1186" spans="2:7">
      <c r="B1186">
        <v>1381</v>
      </c>
      <c r="E1186">
        <v>0.02</v>
      </c>
      <c r="G1186">
        <f t="shared" si="18"/>
        <v>1381</v>
      </c>
    </row>
    <row r="1187" spans="2:7">
      <c r="B1187">
        <v>1382</v>
      </c>
      <c r="E1187">
        <v>0.02</v>
      </c>
      <c r="G1187">
        <f t="shared" si="18"/>
        <v>1382</v>
      </c>
    </row>
    <row r="1188" spans="2:7">
      <c r="B1188">
        <v>1383</v>
      </c>
      <c r="E1188">
        <v>0.02</v>
      </c>
      <c r="G1188">
        <f t="shared" si="18"/>
        <v>1383</v>
      </c>
    </row>
    <row r="1189" spans="2:7">
      <c r="B1189">
        <v>1384</v>
      </c>
      <c r="E1189">
        <v>0.02</v>
      </c>
      <c r="G1189">
        <f t="shared" si="18"/>
        <v>1384</v>
      </c>
    </row>
    <row r="1190" spans="2:7">
      <c r="B1190">
        <v>1385</v>
      </c>
      <c r="E1190">
        <v>0.02</v>
      </c>
      <c r="G1190">
        <f t="shared" si="18"/>
        <v>1385</v>
      </c>
    </row>
    <row r="1191" spans="2:7">
      <c r="B1191">
        <v>1386</v>
      </c>
      <c r="E1191">
        <v>0.02</v>
      </c>
      <c r="G1191">
        <f t="shared" si="18"/>
        <v>1386</v>
      </c>
    </row>
    <row r="1192" spans="2:7">
      <c r="B1192">
        <v>1387</v>
      </c>
      <c r="E1192">
        <v>0.02</v>
      </c>
      <c r="G1192">
        <f t="shared" si="18"/>
        <v>1387</v>
      </c>
    </row>
    <row r="1193" spans="2:7">
      <c r="B1193">
        <v>1388</v>
      </c>
      <c r="E1193">
        <v>0.02</v>
      </c>
      <c r="G1193">
        <f t="shared" si="18"/>
        <v>1388</v>
      </c>
    </row>
    <row r="1194" spans="2:7">
      <c r="B1194">
        <v>1389</v>
      </c>
      <c r="E1194">
        <v>0.02</v>
      </c>
      <c r="G1194">
        <f t="shared" si="18"/>
        <v>1389</v>
      </c>
    </row>
    <row r="1195" spans="2:7">
      <c r="B1195">
        <v>1390</v>
      </c>
      <c r="E1195">
        <v>0.02</v>
      </c>
      <c r="G1195">
        <f t="shared" si="18"/>
        <v>1390</v>
      </c>
    </row>
    <row r="1196" spans="2:7">
      <c r="B1196">
        <v>1391</v>
      </c>
      <c r="E1196">
        <v>0.02</v>
      </c>
      <c r="G1196">
        <f t="shared" si="18"/>
        <v>1391</v>
      </c>
    </row>
    <row r="1197" spans="2:7">
      <c r="B1197">
        <v>1392</v>
      </c>
      <c r="E1197">
        <v>0.02</v>
      </c>
      <c r="G1197">
        <f t="shared" si="18"/>
        <v>1392</v>
      </c>
    </row>
    <row r="1198" spans="2:7">
      <c r="B1198">
        <v>1393</v>
      </c>
      <c r="E1198">
        <v>0.02</v>
      </c>
      <c r="G1198">
        <f t="shared" si="18"/>
        <v>1393</v>
      </c>
    </row>
    <row r="1199" spans="2:7">
      <c r="B1199">
        <v>1394</v>
      </c>
      <c r="E1199">
        <v>0.02</v>
      </c>
      <c r="G1199">
        <f t="shared" si="18"/>
        <v>1394</v>
      </c>
    </row>
    <row r="1200" spans="2:7">
      <c r="B1200">
        <v>1395</v>
      </c>
      <c r="E1200">
        <v>0.02</v>
      </c>
      <c r="G1200">
        <f t="shared" si="18"/>
        <v>1395</v>
      </c>
    </row>
    <row r="1201" spans="2:7">
      <c r="B1201">
        <v>1396</v>
      </c>
      <c r="E1201">
        <v>0.02</v>
      </c>
      <c r="G1201">
        <f t="shared" si="18"/>
        <v>1396</v>
      </c>
    </row>
    <row r="1202" spans="2:7">
      <c r="B1202">
        <v>1397</v>
      </c>
      <c r="E1202">
        <v>0.02</v>
      </c>
      <c r="G1202">
        <f t="shared" si="18"/>
        <v>1397</v>
      </c>
    </row>
    <row r="1203" spans="2:7">
      <c r="B1203">
        <v>1398</v>
      </c>
      <c r="E1203">
        <v>0.02</v>
      </c>
      <c r="G1203">
        <f t="shared" si="18"/>
        <v>1398</v>
      </c>
    </row>
    <row r="1204" spans="2:7">
      <c r="B1204">
        <v>1399</v>
      </c>
      <c r="E1204">
        <v>0.02</v>
      </c>
      <c r="G1204">
        <f t="shared" si="18"/>
        <v>1399</v>
      </c>
    </row>
    <row r="1205" spans="2:7">
      <c r="B1205">
        <v>1400</v>
      </c>
      <c r="E1205">
        <v>0.02</v>
      </c>
      <c r="G1205">
        <f t="shared" si="18"/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UV Hazard Halogen</vt:lpstr>
      <vt:lpstr>IEC TR 62778- LED</vt:lpstr>
      <vt:lpstr>IEC_EN62471- LED non-GLS</vt:lpstr>
      <vt:lpstr>IEC_EN62471- Halogen non-GLS</vt:lpstr>
      <vt:lpstr>Hazard Weighting Functions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J. Lyons</dc:creator>
  <cp:lastModifiedBy>Leslie J. Lyons</cp:lastModifiedBy>
  <dcterms:created xsi:type="dcterms:W3CDTF">2015-07-24T13:12:55Z</dcterms:created>
  <dcterms:modified xsi:type="dcterms:W3CDTF">2015-08-21T09:02:38Z</dcterms:modified>
</cp:coreProperties>
</file>